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2" r:id="rId1"/>
    <sheet name="исполнение" sheetId="1" r:id="rId2"/>
  </sheets>
  <definedNames>
    <definedName name="_Hlk105920340_2">#REF!</definedName>
    <definedName name="_Hlk113273915_2">#REF!</definedName>
    <definedName name="OLE_LINK15_2">#REF!</definedName>
    <definedName name="OLE_LINK17_2">#REF!</definedName>
    <definedName name="OLE_LINK7_2">#REF!</definedName>
    <definedName name="_xlnm.Print_Titles" localSheetId="1">исполнение!$3:$3</definedName>
    <definedName name="_xlnm.Print_Area" localSheetId="0">доходы!$A$1:$J$75</definedName>
    <definedName name="_xlnm.Print_Area" localSheetId="1">исполнение!$A$1:$D$71</definedName>
  </definedNames>
  <calcPr calcId="124519"/>
</workbook>
</file>

<file path=xl/calcChain.xml><?xml version="1.0" encoding="utf-8"?>
<calcChain xmlns="http://schemas.openxmlformats.org/spreadsheetml/2006/main">
  <c r="H5" i="2"/>
  <c r="B6"/>
  <c r="B5" s="1"/>
  <c r="B7"/>
  <c r="C7"/>
  <c r="E7"/>
  <c r="F7"/>
  <c r="G7"/>
  <c r="I7" s="1"/>
  <c r="J7"/>
  <c r="D8"/>
  <c r="D7" s="1"/>
  <c r="F8"/>
  <c r="I8" s="1"/>
  <c r="J8"/>
  <c r="D9"/>
  <c r="F9"/>
  <c r="I9" s="1"/>
  <c r="J9"/>
  <c r="B10"/>
  <c r="C10"/>
  <c r="E10"/>
  <c r="G10"/>
  <c r="H10"/>
  <c r="J10"/>
  <c r="F11"/>
  <c r="I11" s="1"/>
  <c r="J11"/>
  <c r="D12"/>
  <c r="D10" s="1"/>
  <c r="I12"/>
  <c r="D13"/>
  <c r="F13"/>
  <c r="F10" s="1"/>
  <c r="J13"/>
  <c r="D14"/>
  <c r="F14"/>
  <c r="I14" s="1"/>
  <c r="J14"/>
  <c r="B15"/>
  <c r="C15"/>
  <c r="C6" s="1"/>
  <c r="G15"/>
  <c r="D16"/>
  <c r="F16"/>
  <c r="I16" s="1"/>
  <c r="J16"/>
  <c r="D17"/>
  <c r="G17"/>
  <c r="I17" s="1"/>
  <c r="D18"/>
  <c r="E18"/>
  <c r="E15" s="1"/>
  <c r="F18"/>
  <c r="I18" s="1"/>
  <c r="J18"/>
  <c r="D19"/>
  <c r="G19"/>
  <c r="I19" s="1"/>
  <c r="J19"/>
  <c r="D20"/>
  <c r="G20"/>
  <c r="I20" s="1"/>
  <c r="J20"/>
  <c r="C21"/>
  <c r="E21"/>
  <c r="F21"/>
  <c r="I21" s="1"/>
  <c r="H21"/>
  <c r="H15" s="1"/>
  <c r="H6" s="1"/>
  <c r="H75" s="1"/>
  <c r="H86" s="1"/>
  <c r="J21"/>
  <c r="D22"/>
  <c r="D21" s="1"/>
  <c r="F22"/>
  <c r="I22" s="1"/>
  <c r="J22"/>
  <c r="D23"/>
  <c r="F23"/>
  <c r="I23" s="1"/>
  <c r="J23"/>
  <c r="C24"/>
  <c r="E24"/>
  <c r="F24"/>
  <c r="H24"/>
  <c r="I24"/>
  <c r="J24"/>
  <c r="D25"/>
  <c r="F25"/>
  <c r="I25" s="1"/>
  <c r="J25"/>
  <c r="I26"/>
  <c r="J26"/>
  <c r="D27"/>
  <c r="D24" s="1"/>
  <c r="I27"/>
  <c r="J27"/>
  <c r="D28"/>
  <c r="F28"/>
  <c r="I28" s="1"/>
  <c r="J28"/>
  <c r="F29"/>
  <c r="I29" s="1"/>
  <c r="J29"/>
  <c r="F30"/>
  <c r="I30"/>
  <c r="J30"/>
  <c r="F31"/>
  <c r="I31" s="1"/>
  <c r="J31"/>
  <c r="I32"/>
  <c r="J32"/>
  <c r="H33"/>
  <c r="I33"/>
  <c r="J33"/>
  <c r="D34"/>
  <c r="G34"/>
  <c r="I34"/>
  <c r="J34"/>
  <c r="D35"/>
  <c r="G35"/>
  <c r="I35"/>
  <c r="J35"/>
  <c r="D36"/>
  <c r="G36"/>
  <c r="I36"/>
  <c r="J36"/>
  <c r="D37"/>
  <c r="G37"/>
  <c r="I37"/>
  <c r="J37"/>
  <c r="D38"/>
  <c r="G38"/>
  <c r="I38"/>
  <c r="J38"/>
  <c r="D39"/>
  <c r="I39"/>
  <c r="J39"/>
  <c r="D40"/>
  <c r="G40"/>
  <c r="I40" s="1"/>
  <c r="J40"/>
  <c r="D41"/>
  <c r="G41"/>
  <c r="I41" s="1"/>
  <c r="J41"/>
  <c r="B42"/>
  <c r="E42"/>
  <c r="D43"/>
  <c r="D42" s="1"/>
  <c r="F43"/>
  <c r="I43"/>
  <c r="J43"/>
  <c r="B44"/>
  <c r="C44"/>
  <c r="D44"/>
  <c r="E44"/>
  <c r="G44"/>
  <c r="H44"/>
  <c r="H42" s="1"/>
  <c r="J44"/>
  <c r="D45"/>
  <c r="F45"/>
  <c r="F44" s="1"/>
  <c r="J45"/>
  <c r="D46"/>
  <c r="I46"/>
  <c r="J46"/>
  <c r="D47"/>
  <c r="F47"/>
  <c r="I47"/>
  <c r="J47"/>
  <c r="F48"/>
  <c r="I48" s="1"/>
  <c r="J48"/>
  <c r="D49"/>
  <c r="F49"/>
  <c r="I49" s="1"/>
  <c r="J49"/>
  <c r="D50"/>
  <c r="I50"/>
  <c r="J50"/>
  <c r="D51"/>
  <c r="I51"/>
  <c r="J51"/>
  <c r="B52"/>
  <c r="D52"/>
  <c r="F52"/>
  <c r="G52"/>
  <c r="G42" s="1"/>
  <c r="J52"/>
  <c r="D53"/>
  <c r="F53"/>
  <c r="I53" s="1"/>
  <c r="J53"/>
  <c r="D54"/>
  <c r="I54"/>
  <c r="J54"/>
  <c r="D55"/>
  <c r="I55"/>
  <c r="J55"/>
  <c r="F56"/>
  <c r="I56"/>
  <c r="J56"/>
  <c r="D57"/>
  <c r="F57"/>
  <c r="I57"/>
  <c r="J57"/>
  <c r="D58"/>
  <c r="F58"/>
  <c r="I58"/>
  <c r="J58"/>
  <c r="D59"/>
  <c r="F59"/>
  <c r="I59"/>
  <c r="J59"/>
  <c r="I60"/>
  <c r="J60"/>
  <c r="D61"/>
  <c r="F61"/>
  <c r="G61"/>
  <c r="I61" s="1"/>
  <c r="J61"/>
  <c r="D62"/>
  <c r="F62"/>
  <c r="I62" s="1"/>
  <c r="J62"/>
  <c r="C63"/>
  <c r="C42" s="1"/>
  <c r="D63"/>
  <c r="E63"/>
  <c r="F63"/>
  <c r="I63" s="1"/>
  <c r="H63"/>
  <c r="J63"/>
  <c r="F64"/>
  <c r="I64" s="1"/>
  <c r="J64"/>
  <c r="I65"/>
  <c r="J65"/>
  <c r="F66"/>
  <c r="I66" s="1"/>
  <c r="J66"/>
  <c r="D67"/>
  <c r="F67"/>
  <c r="I67" s="1"/>
  <c r="J67"/>
  <c r="D68"/>
  <c r="I68"/>
  <c r="J68"/>
  <c r="D69"/>
  <c r="I69"/>
  <c r="J69"/>
  <c r="D70"/>
  <c r="F70"/>
  <c r="I70"/>
  <c r="J70"/>
  <c r="D71"/>
  <c r="G71"/>
  <c r="I71"/>
  <c r="J71"/>
  <c r="D72"/>
  <c r="G72"/>
  <c r="I72"/>
  <c r="J72"/>
  <c r="D73"/>
  <c r="G73"/>
  <c r="I73"/>
  <c r="J73"/>
  <c r="D74"/>
  <c r="G74"/>
  <c r="I74"/>
  <c r="J74"/>
  <c r="B76"/>
  <c r="C76"/>
  <c r="D76"/>
  <c r="E76"/>
  <c r="D77"/>
  <c r="G77"/>
  <c r="I77"/>
  <c r="J77"/>
  <c r="D78"/>
  <c r="G78"/>
  <c r="G76" s="1"/>
  <c r="I78"/>
  <c r="J78"/>
  <c r="D79"/>
  <c r="G79"/>
  <c r="I79"/>
  <c r="J79"/>
  <c r="D80"/>
  <c r="G80"/>
  <c r="I80"/>
  <c r="J80"/>
  <c r="D81"/>
  <c r="G81"/>
  <c r="I81"/>
  <c r="J81"/>
  <c r="D82"/>
  <c r="G82"/>
  <c r="I82"/>
  <c r="J82"/>
  <c r="D83"/>
  <c r="G83"/>
  <c r="I83"/>
  <c r="J83"/>
  <c r="B84"/>
  <c r="E84"/>
  <c r="D84" s="1"/>
  <c r="G84"/>
  <c r="J84" s="1"/>
  <c r="D85"/>
  <c r="G85"/>
  <c r="I85" s="1"/>
  <c r="I87"/>
  <c r="J87"/>
  <c r="I89"/>
  <c r="J89"/>
  <c r="I90"/>
  <c r="J90"/>
  <c r="F98"/>
  <c r="D10" i="1"/>
  <c r="D50"/>
  <c r="F42" i="2" l="1"/>
  <c r="I44"/>
  <c r="C75"/>
  <c r="C5"/>
  <c r="I15"/>
  <c r="E6"/>
  <c r="E5" s="1"/>
  <c r="J76"/>
  <c r="I76"/>
  <c r="I10"/>
  <c r="I42"/>
  <c r="J42"/>
  <c r="D15"/>
  <c r="D6" s="1"/>
  <c r="I45"/>
  <c r="I13"/>
  <c r="G6"/>
  <c r="I84"/>
  <c r="B75"/>
  <c r="J85"/>
  <c r="I52"/>
  <c r="J17"/>
  <c r="J15"/>
  <c r="F15"/>
  <c r="F6" s="1"/>
  <c r="F5" s="1"/>
  <c r="F103" s="1"/>
  <c r="C66" i="1"/>
  <c r="D5" i="2" l="1"/>
  <c r="D75"/>
  <c r="E75"/>
  <c r="F75"/>
  <c r="G5"/>
  <c r="J6"/>
  <c r="I6"/>
  <c r="B86"/>
  <c r="B88"/>
  <c r="C88"/>
  <c r="C86"/>
  <c r="G75"/>
  <c r="I75" l="1"/>
  <c r="G86"/>
  <c r="J75"/>
  <c r="G88"/>
  <c r="I5"/>
  <c r="J5"/>
  <c r="D88"/>
  <c r="D86"/>
  <c r="E86"/>
  <c r="E88"/>
  <c r="F88"/>
  <c r="F86"/>
  <c r="C61" i="1"/>
  <c r="J86" i="2" l="1"/>
  <c r="I86"/>
  <c r="J88"/>
  <c r="I88"/>
  <c r="C5" i="1" l="1"/>
  <c r="C4" s="1"/>
  <c r="D9" l="1"/>
  <c r="D12"/>
  <c r="B5"/>
  <c r="B66"/>
  <c r="B61"/>
  <c r="B57" s="1"/>
  <c r="C58"/>
  <c r="C57" s="1"/>
  <c r="B58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H19"/>
  <c r="I19" s="1"/>
  <c r="C18"/>
  <c r="B18"/>
  <c r="D17"/>
  <c r="D14"/>
  <c r="C13"/>
  <c r="E8"/>
  <c r="D8"/>
  <c r="D7"/>
  <c r="D6"/>
  <c r="L57" l="1"/>
  <c r="E57"/>
  <c r="B4"/>
  <c r="D4" s="1"/>
  <c r="B13"/>
  <c r="D13" s="1"/>
  <c r="D40"/>
  <c r="D34"/>
  <c r="F8"/>
  <c r="D44"/>
  <c r="D23"/>
  <c r="D49"/>
  <c r="D18"/>
  <c r="D53"/>
  <c r="D26"/>
  <c r="D37"/>
  <c r="D29"/>
  <c r="D5"/>
  <c r="C55"/>
  <c r="F57" l="1"/>
  <c r="M57"/>
</calcChain>
</file>

<file path=xl/sharedStrings.xml><?xml version="1.0" encoding="utf-8"?>
<sst xmlns="http://schemas.openxmlformats.org/spreadsheetml/2006/main" count="170" uniqueCount="149">
  <si>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</si>
  <si>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</si>
  <si>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</si>
  <si>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</si>
  <si>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</si>
  <si>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</si>
  <si>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</si>
  <si>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</si>
  <si>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</si>
  <si>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</si>
  <si>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</si>
  <si>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</si>
  <si>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</si>
  <si>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</si>
  <si>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</si>
  <si>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</si>
  <si>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</si>
  <si>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</si>
  <si>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</si>
  <si>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</si>
  <si>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</si>
  <si>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</si>
  <si>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</si>
  <si>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</si>
  <si>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</si>
  <si>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</si>
  <si>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</si>
  <si>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</si>
  <si>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</si>
  <si>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</si>
  <si>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</si>
  <si>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</si>
  <si>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</si>
  <si>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</si>
  <si>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</si>
  <si>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</si>
  <si>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</si>
  <si>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</si>
  <si>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</si>
  <si>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</si>
  <si>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</si>
  <si>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 0111</t>
  </si>
  <si>
    <t>Фин помощь - Люда</t>
  </si>
  <si>
    <t>в плане не формула, т.к. доходы- по РГД, плюс фин. Помощь по увед., не вкл. в РГД</t>
  </si>
  <si>
    <t>кассу не ставим, т.к. только привлечение</t>
  </si>
  <si>
    <t>регулируем остатками, чтобы итог по "источникам фин. Дефицита бюдж. Сошелся</t>
  </si>
  <si>
    <t xml:space="preserve">остаток Резерв. Фонд м/б 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</si>
  <si>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</si>
  <si>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</si>
  <si>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</si>
  <si>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</si>
  <si>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</si>
  <si>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План на 
2023 год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</si>
  <si>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</si>
  <si>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</si>
  <si>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</si>
  <si>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              ИСПОЛНЕНИЕ БЮДЖЕТА  ГОРОДА ТАГАНРОГА НА 1 ЯНВАРЯ 2024</t>
  </si>
  <si>
    <t>Исполнено на 01.01.2024</t>
  </si>
  <si>
    <t>Заместитель начальника Финансового управления г. Таганрога</t>
  </si>
  <si>
    <t>Е.Н. Шевская</t>
  </si>
  <si>
    <t>ИТОГО ДОХОДОВ</t>
  </si>
  <si>
    <t>ВСЕГО ДОХОДОВ:</t>
  </si>
  <si>
    <t xml:space="preserve">Акции  и  иные  формы  участия  в  капитале, находящиеся в государственной и муниципальной собственности </t>
  </si>
  <si>
    <t>Источники внутреннего финансирования</t>
  </si>
  <si>
    <t>Возврат субсидий и субвенций</t>
  </si>
  <si>
    <t>Перечисления для осуществления возврата излишне уплаченных или излишне взысканных сумм налогов</t>
  </si>
  <si>
    <t xml:space="preserve">Безвозмездные поступления </t>
  </si>
  <si>
    <t>БЕЗВОЗМЕЗДНЫЕ ПОСТУПЛЕНИЯ, в т.ч.</t>
  </si>
  <si>
    <t>Итого собственных доходов</t>
  </si>
  <si>
    <t>Прочие неналоговые поступления</t>
  </si>
  <si>
    <t>Суммы по искам о возмещении вреда, причиненного окружающей среде</t>
  </si>
  <si>
    <t xml:space="preserve"> платежи на инфраструктуру города</t>
  </si>
  <si>
    <t xml:space="preserve">Прочие неналоговые доходы </t>
  </si>
  <si>
    <t>Инициативные платежи</t>
  </si>
  <si>
    <t>Поступления сумм в возмещение вреда, причиненного автомобильным дорогам</t>
  </si>
  <si>
    <t>Денежные взыскания (штрафы) за нарушение правил перевозки крупногабаритных грузов</t>
  </si>
  <si>
    <t>Штрафы, санкции,  возмещение ущерба</t>
  </si>
  <si>
    <t>Доходы от приватизации имущества</t>
  </si>
  <si>
    <t>Доходы от продажи земельных участков, находящихся в собственности 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</si>
  <si>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</si>
  <si>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</t>
  </si>
  <si>
    <t>Плата за увеличение площади земельных участков</t>
  </si>
  <si>
    <t>Доходы от реализации  имущества, (в части реализации материальных запасов по указанному имуществу)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</si>
  <si>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</si>
  <si>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продажи квартир, находящихся в собственности городских округов</t>
  </si>
  <si>
    <t>Прочие доходы от компенсации затрат бюджетов городских округов</t>
  </si>
  <si>
    <t>Доходы, поступающие в порядке возмещения расходов, понесенных в связи с зксплуатацией имущества городских округов</t>
  </si>
  <si>
    <t xml:space="preserve">Доходы от оказания платных услуг </t>
  </si>
  <si>
    <t xml:space="preserve">Прочие доходы от оказания платных услуг (работ) получателями средств бюджетов городских округов </t>
  </si>
  <si>
    <t>Сборы за выдачу органами местного самоуправления лицензий на розничную продажу алкогольной продукции…</t>
  </si>
  <si>
    <t>Плата за негативное воздействие на окружающую среду</t>
  </si>
  <si>
    <t>Прочие поступления от использования имущества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</si>
  <si>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</si>
  <si>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Плата по соглашениям об установлении сервитута</t>
  </si>
  <si>
    <t>Доходы от сдачи в аренду имущества, составляющего казну городских округов (за исключением земельных участков)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</si>
  <si>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</si>
  <si>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</si>
  <si>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</si>
  <si>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</si>
  <si>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>Доходы от сдачи в аренду имущества, находящегося в государственной и муниципальной собственности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</si>
  <si>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</si>
  <si>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Неналоговые доходы</t>
  </si>
  <si>
    <t>Прочие местные налоги и сборы</t>
  </si>
  <si>
    <t>Лицензионные сборы</t>
  </si>
  <si>
    <t>Целевые сборы с граждан и предприятий, учреждений, организаций на содержание милиции..</t>
  </si>
  <si>
    <t>Налог на рекламу</t>
  </si>
  <si>
    <t xml:space="preserve">Сборы за выдачу органами местного самоуправления городских округов лицензий на розничную продажу алкогольной продукции </t>
  </si>
  <si>
    <t>Земельный налог (по обязательствам возникшим до 01.01.06г.)</t>
  </si>
  <si>
    <t>Платежи за проведение поисковых и разведочных работ</t>
  </si>
  <si>
    <t>Налог на прибыль организаций</t>
  </si>
  <si>
    <t>Задолженность и перерасчеты по отмененным налогам, сборам</t>
  </si>
  <si>
    <t>Государственная пошлина за выдачу специального разрешения на движение по автомобильным дорогам транспортных средств</t>
  </si>
  <si>
    <t>Государственная пошлина за выдачу разрешения на установку рекламных конструкций</t>
  </si>
  <si>
    <t>Государственная пошлина за выдачу и обмен паспорта гражданина Российской Федерации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</si>
  <si>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</si>
  <si>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</si>
  <si>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</si>
  <si>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</si>
  <si>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</si>
  <si>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</t>
  </si>
  <si>
    <t>Земельный налог с физических лиц</t>
  </si>
  <si>
    <t>Земельный налог с организаций</t>
  </si>
  <si>
    <t xml:space="preserve"> Земельный налог </t>
  </si>
  <si>
    <t>Транспортный налог с физ.лиц</t>
  </si>
  <si>
    <t>Транспортный налог с организаций</t>
  </si>
  <si>
    <t>Транспортный налог</t>
  </si>
  <si>
    <t>Налог на имущество организаций</t>
  </si>
  <si>
    <t>Налог на имущество физических лиц, зачисляемый в  бюджеты городских округов</t>
  </si>
  <si>
    <t>Налоги на имущество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</si>
  <si>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</si>
  <si>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</si>
  <si>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</si>
  <si>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</si>
  <si>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</si>
  <si>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</t>
  </si>
  <si>
    <t>Налог на доходы физических лиц</t>
  </si>
  <si>
    <t>Налоги на прибыль, доходы</t>
  </si>
  <si>
    <t>Налоговые доходы</t>
  </si>
  <si>
    <t>ИТОГО СОБСТВЕННЫЕ ДОХОДЫ</t>
  </si>
  <si>
    <t xml:space="preserve">% 
исполнения </t>
  </si>
  <si>
    <t>Отклонение от плана на 01.12.2023</t>
  </si>
  <si>
    <t>в том числе за 13.01.06г.</t>
  </si>
  <si>
    <t xml:space="preserve">Исполнено </t>
  </si>
  <si>
    <t>План на 01.12.2023</t>
  </si>
  <si>
    <t xml:space="preserve">Исполнено на 31.01.14г. </t>
  </si>
  <si>
    <t>план 1 квартала</t>
  </si>
  <si>
    <t>Наименование доходов</t>
  </si>
  <si>
    <t>тыс.рублей</t>
  </si>
  <si>
    <t xml:space="preserve"> Исполнение бюджета г. Таганрога по налоговым и неналоговым доходам на 01.01.2024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</si>
</sst>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9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FF0000"/>
      <name val="Arial Cyr"/>
      <family val="2"/>
      <charset val="204"/>
    </font>
    <font>
      <sz val="36"/>
      <name val="Arial Cyr"/>
      <family val="2"/>
      <charset val="204"/>
    </font>
    <font>
      <sz val="32"/>
      <name val="Arial Cyr"/>
      <family val="2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32"/>
      <name val="Times New Roman"/>
      <family val="1"/>
    </font>
    <font>
      <sz val="36"/>
      <name val="Times New Roman"/>
      <family val="1"/>
    </font>
    <font>
      <sz val="72"/>
      <name val="Arial Cyr"/>
      <family val="2"/>
      <charset val="204"/>
    </font>
    <font>
      <i/>
      <sz val="14"/>
      <name val="Times New Roman"/>
      <family val="1"/>
    </font>
    <font>
      <sz val="8"/>
      <color rgb="FF000000"/>
      <name val="Arial Narrow"/>
      <family val="2"/>
      <charset val="204"/>
    </font>
    <font>
      <b/>
      <sz val="48"/>
      <name val="Times New Roman"/>
      <family val="1"/>
    </font>
    <font>
      <sz val="48"/>
      <name val="Arial Cyr"/>
      <family val="2"/>
      <charset val="204"/>
    </font>
    <font>
      <sz val="48"/>
      <name val="Times New Roman"/>
      <family val="1"/>
      <charset val="204"/>
    </font>
    <font>
      <sz val="20"/>
      <name val="Arial Cyr"/>
      <family val="2"/>
      <charset val="204"/>
    </font>
    <font>
      <b/>
      <sz val="20"/>
      <name val="Times New Roman"/>
      <family val="1"/>
    </font>
    <font>
      <b/>
      <sz val="36"/>
      <name val="Times New Roman"/>
      <family val="1"/>
    </font>
    <font>
      <sz val="20"/>
      <name val="Times New Roman"/>
      <family val="1"/>
    </font>
    <font>
      <sz val="48"/>
      <name val="Times New Roman"/>
      <family val="1"/>
    </font>
    <font>
      <i/>
      <sz val="20"/>
      <name val="Arial Cyr"/>
      <family val="2"/>
      <charset val="204"/>
    </font>
    <font>
      <i/>
      <sz val="20"/>
      <name val="Times New Roman"/>
      <family val="1"/>
    </font>
    <font>
      <i/>
      <sz val="36"/>
      <name val="Times New Roman"/>
      <family val="1"/>
    </font>
    <font>
      <b/>
      <i/>
      <sz val="48"/>
      <name val="Times New Roman"/>
      <family val="1"/>
    </font>
    <font>
      <i/>
      <sz val="48"/>
      <name val="Times New Roman"/>
      <family val="1"/>
    </font>
    <font>
      <i/>
      <sz val="36"/>
      <name val="Times New Roman"/>
      <family val="1"/>
      <charset val="204"/>
    </font>
    <font>
      <i/>
      <sz val="48"/>
      <name val="Times New Roman"/>
      <family val="1"/>
      <charset val="204"/>
    </font>
    <font>
      <b/>
      <sz val="48"/>
      <name val="Times New Roman"/>
      <family val="1"/>
      <charset val="204"/>
    </font>
    <font>
      <i/>
      <sz val="20"/>
      <name val="Times New Roman"/>
      <family val="1"/>
      <charset val="204"/>
    </font>
    <font>
      <b/>
      <i/>
      <sz val="48"/>
      <name val="Times New Roman"/>
      <family val="1"/>
      <charset val="204"/>
    </font>
    <font>
      <sz val="20"/>
      <name val="Times New Roman"/>
      <family val="1"/>
      <charset val="204"/>
    </font>
    <font>
      <b/>
      <sz val="36"/>
      <name val="Times New Roman"/>
      <family val="1"/>
      <charset val="204"/>
    </font>
    <font>
      <sz val="30"/>
      <name val="Arial Cyr"/>
      <family val="2"/>
      <charset val="204"/>
    </font>
    <font>
      <sz val="30"/>
      <name val="Times New Roman"/>
      <family val="1"/>
    </font>
    <font>
      <sz val="18"/>
      <name val="Arial Cyr"/>
      <family val="2"/>
      <charset val="204"/>
    </font>
    <font>
      <b/>
      <sz val="18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48"/>
      <name val="Palatino Linotype"/>
      <family val="1"/>
      <charset val="204"/>
    </font>
    <font>
      <b/>
      <i/>
      <sz val="35"/>
      <name val="Constantia"/>
      <family val="1"/>
      <charset val="204"/>
    </font>
    <font>
      <b/>
      <i/>
      <sz val="32"/>
      <name val="Constantia"/>
      <family val="1"/>
      <charset val="204"/>
    </font>
    <font>
      <b/>
      <sz val="6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27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216">
    <xf numFmtId="0" fontId="0" fillId="0" borderId="0" xfId="0"/>
    <xf numFmtId="0" fontId="2" fillId="0" borderId="0" xfId="0" applyFont="1"/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0" fillId="0" borderId="0" xfId="0" applyFont="1"/>
    <xf numFmtId="49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164" fontId="0" fillId="0" borderId="0" xfId="0" applyNumberFormat="1" applyFont="1"/>
    <xf numFmtId="0" fontId="0" fillId="0" borderId="0" xfId="0" applyFont="1" applyFill="1"/>
    <xf numFmtId="165" fontId="0" fillId="0" borderId="0" xfId="0" applyNumberFormat="1" applyFont="1"/>
    <xf numFmtId="4" fontId="0" fillId="0" borderId="0" xfId="0" applyNumberFormat="1" applyFont="1"/>
    <xf numFmtId="164" fontId="0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4" fontId="5" fillId="0" borderId="0" xfId="0" applyNumberFormat="1" applyFont="1"/>
    <xf numFmtId="0" fontId="9" fillId="0" borderId="0" xfId="0" applyFont="1"/>
    <xf numFmtId="165" fontId="10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4" fontId="11" fillId="0" borderId="8" xfId="0" applyNumberFormat="1" applyFont="1" applyFill="1" applyBorder="1"/>
    <xf numFmtId="49" fontId="6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4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vertical="center"/>
    </xf>
    <xf numFmtId="164" fontId="14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/>
    <xf numFmtId="49" fontId="14" fillId="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0" fontId="12" fillId="0" borderId="0" xfId="2" applyFont="1"/>
    <xf numFmtId="165" fontId="3" fillId="0" borderId="0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2" borderId="1" xfId="0" applyNumberFormat="1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4" fillId="0" borderId="5" xfId="0" applyNumberFormat="1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19" fillId="0" borderId="0" xfId="0" applyFont="1" applyBorder="1"/>
    <xf numFmtId="0" fontId="20" fillId="0" borderId="0" xfId="0" applyFont="1" applyBorder="1"/>
    <xf numFmtId="0" fontId="21" fillId="0" borderId="0" xfId="0" applyFont="1"/>
    <xf numFmtId="0" fontId="21" fillId="2" borderId="0" xfId="0" applyFont="1" applyFill="1"/>
    <xf numFmtId="4" fontId="21" fillId="0" borderId="0" xfId="0" applyNumberFormat="1" applyFont="1"/>
    <xf numFmtId="4" fontId="21" fillId="2" borderId="0" xfId="0" applyNumberFormat="1" applyFont="1" applyFill="1"/>
    <xf numFmtId="165" fontId="22" fillId="2" borderId="0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justify"/>
    </xf>
    <xf numFmtId="0" fontId="23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4" fontId="24" fillId="0" borderId="0" xfId="0" applyNumberFormat="1" applyFont="1" applyAlignment="1">
      <alignment horizontal="left"/>
    </xf>
    <xf numFmtId="165" fontId="21" fillId="0" borderId="0" xfId="0" applyNumberFormat="1" applyFont="1"/>
    <xf numFmtId="4" fontId="21" fillId="0" borderId="0" xfId="0" applyNumberFormat="1" applyFont="1" applyAlignment="1">
      <alignment horizontal="left"/>
    </xf>
    <xf numFmtId="0" fontId="26" fillId="2" borderId="0" xfId="0" applyFont="1" applyFill="1"/>
    <xf numFmtId="2" fontId="24" fillId="0" borderId="0" xfId="0" applyNumberFormat="1" applyFont="1" applyAlignment="1">
      <alignment horizontal="justify"/>
    </xf>
    <xf numFmtId="0" fontId="24" fillId="0" borderId="0" xfId="0" applyFont="1" applyAlignment="1">
      <alignment horizontal="left"/>
    </xf>
    <xf numFmtId="165" fontId="27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justify"/>
    </xf>
    <xf numFmtId="165" fontId="23" fillId="0" borderId="0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0" fontId="24" fillId="0" borderId="0" xfId="0" applyFont="1" applyAlignment="1">
      <alignment horizontal="right"/>
    </xf>
    <xf numFmtId="4" fontId="21" fillId="0" borderId="0" xfId="0" applyNumberFormat="1" applyFont="1" applyAlignment="1">
      <alignment horizontal="center"/>
    </xf>
    <xf numFmtId="0" fontId="28" fillId="5" borderId="0" xfId="0" applyFont="1" applyFill="1" applyBorder="1" applyAlignment="1">
      <alignment horizontal="right" vertical="top" wrapText="1"/>
    </xf>
    <xf numFmtId="165" fontId="2" fillId="0" borderId="0" xfId="0" applyNumberFormat="1" applyFont="1" applyBorder="1"/>
    <xf numFmtId="165" fontId="20" fillId="0" borderId="0" xfId="0" applyNumberFormat="1" applyFont="1" applyBorder="1"/>
    <xf numFmtId="165" fontId="24" fillId="0" borderId="0" xfId="0" applyNumberFormat="1" applyFont="1" applyAlignment="1">
      <alignment horizontal="left"/>
    </xf>
    <xf numFmtId="165" fontId="29" fillId="6" borderId="5" xfId="0" applyNumberFormat="1" applyFont="1" applyFill="1" applyBorder="1" applyAlignment="1">
      <alignment horizontal="center" vertical="center" wrapText="1"/>
    </xf>
    <xf numFmtId="165" fontId="29" fillId="6" borderId="9" xfId="0" applyNumberFormat="1" applyFont="1" applyFill="1" applyBorder="1" applyAlignment="1">
      <alignment horizontal="center" vertical="center" wrapText="1"/>
    </xf>
    <xf numFmtId="0" fontId="30" fillId="7" borderId="5" xfId="0" applyFont="1" applyFill="1" applyBorder="1"/>
    <xf numFmtId="165" fontId="30" fillId="7" borderId="5" xfId="0" applyNumberFormat="1" applyFont="1" applyFill="1" applyBorder="1" applyAlignment="1">
      <alignment horizontal="left"/>
    </xf>
    <xf numFmtId="0" fontId="29" fillId="6" borderId="5" xfId="0" applyFont="1" applyFill="1" applyBorder="1" applyAlignment="1">
      <alignment horizontal="center" vertical="center" wrapText="1"/>
    </xf>
    <xf numFmtId="165" fontId="31" fillId="8" borderId="3" xfId="0" applyNumberFormat="1" applyFont="1" applyFill="1" applyBorder="1" applyAlignment="1">
      <alignment horizontal="center" vertical="center" wrapText="1"/>
    </xf>
    <xf numFmtId="0" fontId="31" fillId="8" borderId="3" xfId="0" applyFont="1" applyFill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Border="1"/>
    <xf numFmtId="165" fontId="33" fillId="2" borderId="0" xfId="0" applyNumberFormat="1" applyFont="1" applyFill="1" applyBorder="1" applyAlignment="1">
      <alignment horizontal="center" vertical="center" wrapText="1"/>
    </xf>
    <xf numFmtId="165" fontId="34" fillId="2" borderId="0" xfId="0" applyNumberFormat="1" applyFont="1" applyFill="1" applyBorder="1" applyAlignment="1">
      <alignment horizontal="center" vertical="center" wrapText="1"/>
    </xf>
    <xf numFmtId="165" fontId="29" fillId="8" borderId="5" xfId="0" applyNumberFormat="1" applyFont="1" applyFill="1" applyBorder="1" applyAlignment="1">
      <alignment horizontal="center" vertical="center" wrapText="1"/>
    </xf>
    <xf numFmtId="0" fontId="29" fillId="8" borderId="5" xfId="0" applyFont="1" applyFill="1" applyBorder="1" applyAlignment="1">
      <alignment horizontal="center" vertical="center" wrapText="1"/>
    </xf>
    <xf numFmtId="165" fontId="35" fillId="0" borderId="0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 applyBorder="1" applyAlignment="1">
      <alignment horizontal="center" vertical="center" wrapText="1"/>
    </xf>
    <xf numFmtId="165" fontId="36" fillId="8" borderId="5" xfId="0" applyNumberFormat="1" applyFont="1" applyFill="1" applyBorder="1" applyAlignment="1">
      <alignment horizontal="center" vertical="center" wrapText="1"/>
    </xf>
    <xf numFmtId="165" fontId="36" fillId="8" borderId="10" xfId="0" applyNumberFormat="1" applyFont="1" applyFill="1" applyBorder="1" applyAlignment="1">
      <alignment horizontal="center" vertical="center" wrapText="1"/>
    </xf>
    <xf numFmtId="165" fontId="29" fillId="9" borderId="5" xfId="0" applyNumberFormat="1" applyFont="1" applyFill="1" applyBorder="1" applyAlignment="1">
      <alignment horizontal="center" vertical="center" wrapText="1"/>
    </xf>
    <xf numFmtId="165" fontId="36" fillId="9" borderId="5" xfId="0" applyNumberFormat="1" applyFont="1" applyFill="1" applyBorder="1" applyAlignment="1">
      <alignment horizontal="center" vertical="center" wrapText="1"/>
    </xf>
    <xf numFmtId="0" fontId="36" fillId="9" borderId="1" xfId="0" applyFont="1" applyFill="1" applyBorder="1" applyAlignment="1">
      <alignment horizontal="center" vertical="center" wrapText="1"/>
    </xf>
    <xf numFmtId="165" fontId="34" fillId="0" borderId="0" xfId="0" applyNumberFormat="1" applyFont="1" applyFill="1" applyBorder="1" applyAlignment="1">
      <alignment horizontal="center" vertical="center" wrapText="1"/>
    </xf>
    <xf numFmtId="165" fontId="29" fillId="8" borderId="10" xfId="0" applyNumberFormat="1" applyFont="1" applyFill="1" applyBorder="1" applyAlignment="1">
      <alignment horizontal="center" vertical="center" wrapText="1"/>
    </xf>
    <xf numFmtId="0" fontId="29" fillId="9" borderId="5" xfId="0" applyFont="1" applyFill="1" applyBorder="1" applyAlignment="1">
      <alignment horizontal="center" vertical="center" wrapText="1"/>
    </xf>
    <xf numFmtId="165" fontId="36" fillId="8" borderId="11" xfId="0" applyNumberFormat="1" applyFont="1" applyFill="1" applyBorder="1" applyAlignment="1">
      <alignment horizontal="center" vertical="center" wrapText="1"/>
    </xf>
    <xf numFmtId="165" fontId="36" fillId="8" borderId="9" xfId="0" applyNumberFormat="1" applyFont="1" applyFill="1" applyBorder="1" applyAlignment="1">
      <alignment horizontal="center" vertical="center" wrapText="1"/>
    </xf>
    <xf numFmtId="165" fontId="29" fillId="9" borderId="11" xfId="0" applyNumberFormat="1" applyFont="1" applyFill="1" applyBorder="1" applyAlignment="1">
      <alignment horizontal="center" vertical="center" wrapText="1"/>
    </xf>
    <xf numFmtId="165" fontId="36" fillId="9" borderId="11" xfId="0" applyNumberFormat="1" applyFont="1" applyFill="1" applyBorder="1" applyAlignment="1">
      <alignment horizontal="center" vertical="center" wrapText="1"/>
    </xf>
    <xf numFmtId="0" fontId="36" fillId="9" borderId="3" xfId="0" applyFont="1" applyFill="1" applyBorder="1" applyAlignment="1">
      <alignment horizontal="center" vertical="center" wrapText="1"/>
    </xf>
    <xf numFmtId="165" fontId="29" fillId="9" borderId="10" xfId="0" applyNumberFormat="1" applyFont="1" applyFill="1" applyBorder="1" applyAlignment="1">
      <alignment horizontal="center" vertical="center" wrapText="1"/>
    </xf>
    <xf numFmtId="165" fontId="36" fillId="9" borderId="10" xfId="0" applyNumberFormat="1" applyFont="1" applyFill="1" applyBorder="1" applyAlignment="1">
      <alignment horizontal="center" vertical="center" wrapText="1"/>
    </xf>
    <xf numFmtId="165" fontId="36" fillId="9" borderId="9" xfId="0" applyNumberFormat="1" applyFont="1" applyFill="1" applyBorder="1" applyAlignment="1">
      <alignment horizontal="center" vertical="center" wrapText="1"/>
    </xf>
    <xf numFmtId="165" fontId="29" fillId="9" borderId="9" xfId="0" applyNumberFormat="1" applyFont="1" applyFill="1" applyBorder="1" applyAlignment="1">
      <alignment horizontal="center" vertical="center" wrapText="1"/>
    </xf>
    <xf numFmtId="165" fontId="29" fillId="9" borderId="9" xfId="0" applyNumberFormat="1" applyFont="1" applyFill="1" applyBorder="1" applyAlignment="1">
      <alignment horizontal="center"/>
    </xf>
    <xf numFmtId="165" fontId="29" fillId="8" borderId="9" xfId="0" applyNumberFormat="1" applyFont="1" applyFill="1" applyBorder="1" applyAlignment="1">
      <alignment horizontal="center" vertical="center" wrapText="1"/>
    </xf>
    <xf numFmtId="165" fontId="31" fillId="9" borderId="9" xfId="0" applyNumberFormat="1" applyFont="1" applyFill="1" applyBorder="1" applyAlignment="1">
      <alignment horizontal="center" vertical="center" wrapText="1"/>
    </xf>
    <xf numFmtId="165" fontId="29" fillId="9" borderId="1" xfId="0" applyNumberFormat="1" applyFont="1" applyFill="1" applyBorder="1" applyAlignment="1">
      <alignment horizontal="center"/>
    </xf>
    <xf numFmtId="0" fontId="29" fillId="9" borderId="1" xfId="0" applyFont="1" applyFill="1" applyBorder="1" applyAlignment="1">
      <alignment horizontal="center" vertical="center" wrapText="1"/>
    </xf>
    <xf numFmtId="0" fontId="29" fillId="6" borderId="1" xfId="0" applyFont="1" applyFill="1" applyBorder="1" applyAlignment="1">
      <alignment horizontal="center" vertical="center" wrapText="1"/>
    </xf>
    <xf numFmtId="0" fontId="37" fillId="0" borderId="0" xfId="0" applyFont="1"/>
    <xf numFmtId="0" fontId="37" fillId="0" borderId="0" xfId="0" applyFont="1" applyBorder="1"/>
    <xf numFmtId="165" fontId="38" fillId="0" borderId="0" xfId="0" applyNumberFormat="1" applyFont="1" applyFill="1" applyBorder="1" applyAlignment="1">
      <alignment horizontal="center" vertical="center" wrapText="1"/>
    </xf>
    <xf numFmtId="165" fontId="39" fillId="0" borderId="0" xfId="0" applyNumberFormat="1" applyFont="1" applyFill="1" applyBorder="1" applyAlignment="1">
      <alignment horizontal="center" vertical="center" wrapText="1"/>
    </xf>
    <xf numFmtId="165" fontId="31" fillId="8" borderId="9" xfId="0" applyNumberFormat="1" applyFont="1" applyFill="1" applyBorder="1" applyAlignment="1">
      <alignment horizontal="center" vertical="center" wrapText="1"/>
    </xf>
    <xf numFmtId="165" fontId="40" fillId="9" borderId="9" xfId="0" applyNumberFormat="1" applyFont="1" applyFill="1" applyBorder="1" applyAlignment="1">
      <alignment horizontal="center" vertical="center" wrapText="1"/>
    </xf>
    <xf numFmtId="165" fontId="41" fillId="0" borderId="9" xfId="0" applyNumberFormat="1" applyFont="1" applyFill="1" applyBorder="1" applyAlignment="1">
      <alignment horizontal="center" vertical="center" wrapText="1"/>
    </xf>
    <xf numFmtId="165" fontId="29" fillId="2" borderId="9" xfId="0" applyNumberFormat="1" applyFont="1" applyFill="1" applyBorder="1" applyAlignment="1">
      <alignment horizontal="center" vertical="center" wrapText="1"/>
    </xf>
    <xf numFmtId="165" fontId="36" fillId="2" borderId="9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5" fontId="40" fillId="0" borderId="9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165" fontId="29" fillId="0" borderId="9" xfId="0" applyNumberFormat="1" applyFont="1" applyFill="1" applyBorder="1" applyAlignment="1">
      <alignment horizontal="center" vertical="center" wrapText="1"/>
    </xf>
    <xf numFmtId="165" fontId="36" fillId="0" borderId="9" xfId="0" applyNumberFormat="1" applyFont="1" applyFill="1" applyBorder="1" applyAlignment="1">
      <alignment horizontal="center" vertical="center" wrapText="1"/>
    </xf>
    <xf numFmtId="165" fontId="42" fillId="0" borderId="0" xfId="0" applyNumberFormat="1" applyFont="1" applyFill="1" applyBorder="1" applyAlignment="1">
      <alignment horizontal="center" vertical="center" wrapText="1"/>
    </xf>
    <xf numFmtId="165" fontId="43" fillId="9" borderId="9" xfId="0" applyNumberFormat="1" applyFont="1" applyFill="1" applyBorder="1" applyAlignment="1">
      <alignment horizontal="center" vertical="center" wrapText="1"/>
    </xf>
    <xf numFmtId="165" fontId="43" fillId="0" borderId="9" xfId="0" applyNumberFormat="1" applyFont="1" applyFill="1" applyBorder="1" applyAlignment="1">
      <alignment horizontal="center" vertical="center" wrapText="1"/>
    </xf>
    <xf numFmtId="165" fontId="43" fillId="2" borderId="9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5" fontId="31" fillId="0" borderId="9" xfId="0" applyNumberFormat="1" applyFont="1" applyFill="1" applyBorder="1" applyAlignment="1">
      <alignment horizontal="center" vertical="center" wrapText="1"/>
    </xf>
    <xf numFmtId="165" fontId="44" fillId="2" borderId="9" xfId="0" applyNumberFormat="1" applyFont="1" applyFill="1" applyBorder="1" applyAlignment="1">
      <alignment horizontal="center" vertical="center" wrapText="1"/>
    </xf>
    <xf numFmtId="165" fontId="31" fillId="2" borderId="9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65" fontId="43" fillId="8" borderId="9" xfId="0" applyNumberFormat="1" applyFont="1" applyFill="1" applyBorder="1" applyAlignment="1">
      <alignment horizontal="center" vertical="center" wrapText="1"/>
    </xf>
    <xf numFmtId="165" fontId="40" fillId="2" borderId="9" xfId="0" applyNumberFormat="1" applyFont="1" applyFill="1" applyBorder="1" applyAlignment="1">
      <alignment horizontal="center" vertical="center" wrapText="1"/>
    </xf>
    <xf numFmtId="165" fontId="41" fillId="2" borderId="9" xfId="0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 applyBorder="1" applyAlignment="1">
      <alignment horizontal="center" vertical="center" wrapText="1"/>
    </xf>
    <xf numFmtId="165" fontId="33" fillId="0" borderId="0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8" borderId="1" xfId="0" applyFont="1" applyFill="1" applyBorder="1" applyAlignment="1">
      <alignment horizontal="center" vertical="center" wrapText="1"/>
    </xf>
    <xf numFmtId="165" fontId="41" fillId="8" borderId="9" xfId="0" applyNumberFormat="1" applyFont="1" applyFill="1" applyBorder="1" applyAlignment="1">
      <alignment horizontal="center" vertical="center" wrapText="1"/>
    </xf>
    <xf numFmtId="165" fontId="41" fillId="9" borderId="9" xfId="0" applyNumberFormat="1" applyFont="1" applyFill="1" applyBorder="1" applyAlignment="1">
      <alignment horizontal="center" vertical="center" wrapText="1"/>
    </xf>
    <xf numFmtId="0" fontId="41" fillId="9" borderId="1" xfId="0" applyFont="1" applyFill="1" applyBorder="1" applyAlignment="1">
      <alignment horizontal="center" vertical="center" wrapText="1"/>
    </xf>
    <xf numFmtId="165" fontId="46" fillId="8" borderId="9" xfId="0" applyNumberFormat="1" applyFont="1" applyFill="1" applyBorder="1" applyAlignment="1">
      <alignment horizontal="center" vertical="center" wrapText="1"/>
    </xf>
    <xf numFmtId="0" fontId="43" fillId="9" borderId="1" xfId="0" applyFont="1" applyFill="1" applyBorder="1" applyAlignment="1">
      <alignment horizontal="center" vertical="center" wrapText="1"/>
    </xf>
    <xf numFmtId="165" fontId="41" fillId="9" borderId="10" xfId="0" applyNumberFormat="1" applyFont="1" applyFill="1" applyBorder="1" applyAlignment="1">
      <alignment horizontal="center" vertical="center" wrapText="1"/>
    </xf>
    <xf numFmtId="165" fontId="47" fillId="0" borderId="0" xfId="0" applyNumberFormat="1" applyFont="1" applyFill="1" applyBorder="1" applyAlignment="1">
      <alignment horizontal="center" vertical="center" wrapText="1"/>
    </xf>
    <xf numFmtId="165" fontId="40" fillId="8" borderId="9" xfId="0" applyNumberFormat="1" applyFont="1" applyFill="1" applyBorder="1" applyAlignment="1">
      <alignment horizontal="center" vertical="center" wrapText="1"/>
    </xf>
    <xf numFmtId="0" fontId="31" fillId="9" borderId="1" xfId="0" applyFont="1" applyFill="1" applyBorder="1" applyAlignment="1">
      <alignment horizontal="center" vertical="center" wrapText="1"/>
    </xf>
    <xf numFmtId="165" fontId="48" fillId="0" borderId="0" xfId="0" applyNumberFormat="1" applyFont="1" applyFill="1" applyBorder="1" applyAlignment="1">
      <alignment horizontal="center" vertical="center" wrapText="1"/>
    </xf>
    <xf numFmtId="165" fontId="44" fillId="9" borderId="9" xfId="0" applyNumberFormat="1" applyFont="1" applyFill="1" applyBorder="1" applyAlignment="1">
      <alignment horizontal="center" vertical="center" wrapText="1"/>
    </xf>
    <xf numFmtId="165" fontId="44" fillId="8" borderId="9" xfId="0" applyNumberFormat="1" applyFont="1" applyFill="1" applyBorder="1" applyAlignment="1">
      <alignment horizontal="center" vertical="center" wrapText="1"/>
    </xf>
    <xf numFmtId="0" fontId="44" fillId="9" borderId="1" xfId="0" applyFont="1" applyFill="1" applyBorder="1" applyAlignment="1">
      <alignment horizontal="center" vertical="center" wrapText="1"/>
    </xf>
    <xf numFmtId="0" fontId="49" fillId="0" borderId="0" xfId="0" applyFont="1"/>
    <xf numFmtId="0" fontId="49" fillId="0" borderId="0" xfId="0" applyFont="1" applyBorder="1"/>
    <xf numFmtId="0" fontId="50" fillId="0" borderId="0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51" fillId="0" borderId="0" xfId="0" applyFont="1"/>
    <xf numFmtId="0" fontId="51" fillId="0" borderId="0" xfId="0" applyFont="1" applyBorder="1"/>
    <xf numFmtId="164" fontId="52" fillId="2" borderId="0" xfId="0" applyNumberFormat="1" applyFont="1" applyFill="1" applyBorder="1" applyAlignment="1">
      <alignment horizontal="center" vertical="center" wrapText="1"/>
    </xf>
    <xf numFmtId="164" fontId="53" fillId="2" borderId="0" xfId="0" applyNumberFormat="1" applyFont="1" applyFill="1" applyBorder="1" applyAlignment="1">
      <alignment horizontal="center" vertical="center" wrapText="1"/>
    </xf>
    <xf numFmtId="164" fontId="54" fillId="6" borderId="5" xfId="0" applyNumberFormat="1" applyFont="1" applyFill="1" applyBorder="1" applyAlignment="1">
      <alignment horizontal="center" vertical="center" wrapText="1"/>
    </xf>
    <xf numFmtId="0" fontId="55" fillId="6" borderId="5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top"/>
    </xf>
    <xf numFmtId="0" fontId="57" fillId="0" borderId="0" xfId="0" applyFont="1" applyBorder="1" applyAlignment="1">
      <alignment horizontal="center" vertical="top"/>
    </xf>
    <xf numFmtId="0" fontId="58" fillId="0" borderId="0" xfId="0" applyFont="1" applyBorder="1" applyAlignment="1">
      <alignment horizontal="center" vertical="top" wrapText="1"/>
    </xf>
    <xf numFmtId="0" fontId="58" fillId="0" borderId="0" xfId="0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51"/>
  <sheetViews>
    <sheetView view="pageBreakPreview" zoomScale="26" zoomScaleSheetLayoutView="26" workbookViewId="0">
      <pane xSplit="1" ySplit="1" topLeftCell="B66" activePane="bottomRight" state="frozen"/>
      <selection pane="topRight" activeCell="S1" sqref="S1"/>
      <selection pane="bottomLeft" activeCell="A49" sqref="A49"/>
      <selection pane="bottomRight" activeCell="J58" sqref="J58"/>
    </sheetView>
  </sheetViews>
  <sheetFormatPr defaultRowHeight="44.25"/>
  <cols>
    <col min="1" max="1" width="239.140625" style="90" customWidth="1"/>
    <col min="2" max="2" width="75.28515625" style="90" customWidth="1"/>
    <col min="3" max="3" width="36.28515625" style="90" hidden="1" customWidth="1"/>
    <col min="4" max="4" width="47.140625" style="90" hidden="1" customWidth="1"/>
    <col min="5" max="5" width="51.85546875" style="90" hidden="1" customWidth="1"/>
    <col min="6" max="6" width="55.85546875" style="90" hidden="1" customWidth="1"/>
    <col min="7" max="7" width="76.28515625" style="90" customWidth="1"/>
    <col min="8" max="8" width="0" style="90" hidden="1" customWidth="1"/>
    <col min="9" max="9" width="54.140625" style="90" hidden="1" customWidth="1"/>
    <col min="10" max="10" width="85.42578125" style="90" customWidth="1"/>
    <col min="11" max="11" width="31.85546875" style="89" customWidth="1"/>
    <col min="12" max="12" width="40.85546875" style="89" customWidth="1"/>
    <col min="13" max="13" width="34.28515625" style="89" customWidth="1"/>
    <col min="14" max="14" width="34.7109375" style="87" customWidth="1"/>
    <col min="15" max="15" width="34.42578125" style="87" customWidth="1"/>
    <col min="16" max="16" width="37" style="87" customWidth="1"/>
    <col min="17" max="17" width="37.5703125" style="87" customWidth="1"/>
    <col min="18" max="18" width="40" style="87" customWidth="1"/>
    <col min="19" max="19" width="41.28515625" style="87" customWidth="1"/>
    <col min="20" max="20" width="36.140625" style="87" customWidth="1"/>
    <col min="21" max="21" width="33.7109375" style="87" customWidth="1"/>
    <col min="22" max="22" width="36.85546875" style="87" customWidth="1"/>
    <col min="23" max="23" width="35.7109375" style="88" customWidth="1"/>
    <col min="24" max="24" width="31.85546875" style="88" customWidth="1"/>
    <col min="25" max="25" width="40.85546875" style="88" customWidth="1"/>
    <col min="26" max="26" width="39.140625" style="88" customWidth="1"/>
    <col min="27" max="27" width="32" style="88" customWidth="1"/>
    <col min="28" max="28" width="30.85546875" style="87" customWidth="1"/>
    <col min="29" max="29" width="37.5703125" style="87" customWidth="1"/>
    <col min="30" max="30" width="31.5703125" style="87" customWidth="1"/>
    <col min="31" max="31" width="37.28515625" style="87" customWidth="1"/>
    <col min="32" max="32" width="35.28515625" style="87" customWidth="1"/>
    <col min="33" max="33" width="33" style="87" customWidth="1"/>
    <col min="34" max="34" width="19" style="87" customWidth="1"/>
    <col min="35" max="35" width="9.140625" style="86"/>
  </cols>
  <sheetData>
    <row r="1" spans="1:35" ht="89.25" customHeight="1">
      <c r="A1" s="211" t="s">
        <v>148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35" ht="42" customHeight="1">
      <c r="A2" s="210"/>
      <c r="B2" s="210"/>
      <c r="C2" s="210"/>
      <c r="D2" s="210"/>
      <c r="E2" s="210"/>
      <c r="F2" s="210"/>
      <c r="G2" s="210"/>
      <c r="H2" s="210"/>
      <c r="I2" s="210"/>
      <c r="J2" s="209" t="s">
        <v>147</v>
      </c>
    </row>
    <row r="3" spans="1:35" s="203" customFormat="1" ht="177.75" customHeight="1">
      <c r="A3" s="208" t="s">
        <v>146</v>
      </c>
      <c r="B3" s="207" t="s">
        <v>52</v>
      </c>
      <c r="C3" s="207" t="s">
        <v>145</v>
      </c>
      <c r="D3" s="207" t="s">
        <v>144</v>
      </c>
      <c r="E3" s="207"/>
      <c r="F3" s="207" t="s">
        <v>143</v>
      </c>
      <c r="G3" s="207" t="s">
        <v>142</v>
      </c>
      <c r="H3" s="207" t="s">
        <v>141</v>
      </c>
      <c r="I3" s="207" t="s">
        <v>140</v>
      </c>
      <c r="J3" s="207" t="s">
        <v>139</v>
      </c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5"/>
      <c r="AI3" s="204"/>
    </row>
    <row r="4" spans="1:35" s="198" customFormat="1" ht="38.25" customHeight="1">
      <c r="A4" s="202">
        <v>1</v>
      </c>
      <c r="B4" s="202">
        <v>2</v>
      </c>
      <c r="C4" s="202"/>
      <c r="D4" s="202">
        <v>3</v>
      </c>
      <c r="E4" s="202"/>
      <c r="F4" s="202">
        <v>3</v>
      </c>
      <c r="G4" s="202">
        <v>3</v>
      </c>
      <c r="H4" s="202">
        <v>6</v>
      </c>
      <c r="I4" s="202">
        <v>5</v>
      </c>
      <c r="J4" s="201">
        <v>4</v>
      </c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199"/>
    </row>
    <row r="5" spans="1:35" s="198" customFormat="1" ht="78" customHeight="1">
      <c r="A5" s="184" t="s">
        <v>138</v>
      </c>
      <c r="B5" s="150">
        <f t="shared" ref="B5:G5" si="0">B6+B42</f>
        <v>3524644.6199999996</v>
      </c>
      <c r="C5" s="150">
        <f t="shared" si="0"/>
        <v>186783.7</v>
      </c>
      <c r="D5" s="150">
        <f t="shared" si="0"/>
        <v>2573272.7000000007</v>
      </c>
      <c r="E5" s="150">
        <f t="shared" si="0"/>
        <v>0</v>
      </c>
      <c r="F5" s="150">
        <f t="shared" si="0"/>
        <v>3038089.3</v>
      </c>
      <c r="G5" s="150">
        <f t="shared" si="0"/>
        <v>3188050.6</v>
      </c>
      <c r="H5" s="150" t="e">
        <f>#REF!+#REF!</f>
        <v>#REF!</v>
      </c>
      <c r="I5" s="150">
        <f t="shared" ref="I5:I36" si="1">G5-F5</f>
        <v>149961.30000000028</v>
      </c>
      <c r="J5" s="128">
        <f t="shared" ref="J5:J11" si="2">G5*100/B5</f>
        <v>90.450270699915279</v>
      </c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199"/>
    </row>
    <row r="6" spans="1:35" s="124" customFormat="1" ht="69.75" customHeight="1">
      <c r="A6" s="184" t="s">
        <v>137</v>
      </c>
      <c r="B6" s="150">
        <f>B7+B9+B10+B15+B24+B33</f>
        <v>3131468.0999999996</v>
      </c>
      <c r="C6" s="150">
        <f>C7+C9+C10+C15+C24+C33</f>
        <v>149859.80000000002</v>
      </c>
      <c r="D6" s="150">
        <f>D7+D9+D10+D15+D24+D33</f>
        <v>2287697.1000000006</v>
      </c>
      <c r="E6" s="150">
        <f>E7+E9+E10+E15+E24+E33</f>
        <v>0</v>
      </c>
      <c r="F6" s="150">
        <f>F7+F9+F10+F15+F24+F33</f>
        <v>2731702</v>
      </c>
      <c r="G6" s="150">
        <f>G7+G9+G10+G15+G24+G33+0.3</f>
        <v>2859548</v>
      </c>
      <c r="H6" s="150" t="e">
        <f>H8+H10+H15+H24+H33</f>
        <v>#REF!</v>
      </c>
      <c r="I6" s="150">
        <f t="shared" si="1"/>
        <v>127846</v>
      </c>
      <c r="J6" s="128">
        <f t="shared" si="2"/>
        <v>91.316529777199406</v>
      </c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6"/>
      <c r="AI6" s="125"/>
    </row>
    <row r="7" spans="1:35" s="124" customFormat="1" ht="73.5" customHeight="1">
      <c r="A7" s="153" t="s">
        <v>136</v>
      </c>
      <c r="B7" s="148">
        <f t="shared" ref="B7:G7" si="3">B8</f>
        <v>1848729.5</v>
      </c>
      <c r="C7" s="148">
        <f t="shared" si="3"/>
        <v>94149.4</v>
      </c>
      <c r="D7" s="148">
        <f t="shared" si="3"/>
        <v>1751771.2</v>
      </c>
      <c r="E7" s="148">
        <f t="shared" si="3"/>
        <v>0</v>
      </c>
      <c r="F7" s="148">
        <f t="shared" si="3"/>
        <v>1573200</v>
      </c>
      <c r="G7" s="148">
        <f t="shared" si="3"/>
        <v>1751771.2</v>
      </c>
      <c r="H7" s="148"/>
      <c r="I7" s="150">
        <f t="shared" si="1"/>
        <v>178571.19999999995</v>
      </c>
      <c r="J7" s="128">
        <f t="shared" si="2"/>
        <v>94.755409052541225</v>
      </c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82"/>
      <c r="AI7" s="125"/>
    </row>
    <row r="8" spans="1:35" s="124" customFormat="1" ht="65.25" customHeight="1">
      <c r="A8" s="136" t="s">
        <v>135</v>
      </c>
      <c r="B8" s="147">
        <v>1848729.5</v>
      </c>
      <c r="C8" s="147">
        <v>94149.4</v>
      </c>
      <c r="D8" s="141">
        <f>E8+G8</f>
        <v>1751771.2</v>
      </c>
      <c r="E8" s="141"/>
      <c r="F8" s="147">
        <f>330000+352000+549900+170650+170650</f>
        <v>1573200</v>
      </c>
      <c r="G8" s="141">
        <v>1751771.2</v>
      </c>
      <c r="H8" s="147"/>
      <c r="I8" s="159">
        <f t="shared" si="1"/>
        <v>178571.19999999995</v>
      </c>
      <c r="J8" s="128">
        <f t="shared" si="2"/>
        <v>94.755409052541225</v>
      </c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0"/>
      <c r="AI8" s="125"/>
    </row>
    <row r="9" spans="1:35" s="124" customFormat="1" ht="66.75" customHeight="1">
      <c r="A9" s="197" t="s">
        <v>134</v>
      </c>
      <c r="B9" s="195">
        <v>34510.9</v>
      </c>
      <c r="C9" s="195"/>
      <c r="D9" s="196">
        <f>E9+G9</f>
        <v>34761.1</v>
      </c>
      <c r="E9" s="196"/>
      <c r="F9" s="195">
        <f>7465.5+8808.5+9115.5+3038.5+3038.5</f>
        <v>31466.5</v>
      </c>
      <c r="G9" s="196">
        <v>34761.1</v>
      </c>
      <c r="H9" s="195"/>
      <c r="I9" s="150">
        <f t="shared" si="1"/>
        <v>3294.5999999999985</v>
      </c>
      <c r="J9" s="128">
        <f t="shared" si="2"/>
        <v>100.72498833701816</v>
      </c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31"/>
      <c r="AB9" s="131"/>
      <c r="AC9" s="131"/>
      <c r="AD9" s="131"/>
      <c r="AE9" s="131"/>
      <c r="AF9" s="131"/>
      <c r="AG9" s="131"/>
      <c r="AH9" s="130"/>
      <c r="AI9" s="125"/>
    </row>
    <row r="10" spans="1:35" s="124" customFormat="1" ht="78" customHeight="1">
      <c r="A10" s="153" t="s">
        <v>133</v>
      </c>
      <c r="B10" s="148">
        <f t="shared" ref="B10:G10" si="4">B12+B13+B14+B11</f>
        <v>282222.8</v>
      </c>
      <c r="C10" s="148">
        <f t="shared" si="4"/>
        <v>25211.1</v>
      </c>
      <c r="D10" s="148">
        <f t="shared" si="4"/>
        <v>16375.1</v>
      </c>
      <c r="E10" s="148">
        <f t="shared" si="4"/>
        <v>0</v>
      </c>
      <c r="F10" s="148">
        <f t="shared" si="4"/>
        <v>267204.3</v>
      </c>
      <c r="G10" s="148">
        <f t="shared" si="4"/>
        <v>217155.80000000002</v>
      </c>
      <c r="H10" s="148">
        <f>SUM(H12:H13)</f>
        <v>0</v>
      </c>
      <c r="I10" s="150">
        <f t="shared" si="1"/>
        <v>-50048.499999999971</v>
      </c>
      <c r="J10" s="128">
        <f t="shared" si="2"/>
        <v>76.944810979127126</v>
      </c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82"/>
      <c r="AI10" s="125"/>
    </row>
    <row r="11" spans="1:35" s="124" customFormat="1" ht="118.5" customHeight="1">
      <c r="A11" s="193" t="s">
        <v>132</v>
      </c>
      <c r="B11" s="151">
        <v>229400.4</v>
      </c>
      <c r="C11" s="148"/>
      <c r="D11" s="148"/>
      <c r="E11" s="148"/>
      <c r="F11" s="151">
        <f>33362.2+69637.8+62000+45000+11000</f>
        <v>221000</v>
      </c>
      <c r="G11" s="151">
        <v>200780.7</v>
      </c>
      <c r="H11" s="148"/>
      <c r="I11" s="159">
        <f t="shared" si="1"/>
        <v>-20219.299999999988</v>
      </c>
      <c r="J11" s="128">
        <f t="shared" si="2"/>
        <v>87.524128118346795</v>
      </c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82"/>
      <c r="AI11" s="125"/>
    </row>
    <row r="12" spans="1:35" s="124" customFormat="1" ht="123.75" customHeight="1">
      <c r="A12" s="136" t="s">
        <v>131</v>
      </c>
      <c r="B12" s="147">
        <v>0</v>
      </c>
      <c r="C12" s="147">
        <v>25211.1</v>
      </c>
      <c r="D12" s="141">
        <f>E12+G12</f>
        <v>-1073.3</v>
      </c>
      <c r="E12" s="150"/>
      <c r="F12" s="147">
        <v>0</v>
      </c>
      <c r="G12" s="141">
        <v>-1073.3</v>
      </c>
      <c r="H12" s="147"/>
      <c r="I12" s="159">
        <f t="shared" si="1"/>
        <v>-1073.3</v>
      </c>
      <c r="J12" s="128">
        <v>0</v>
      </c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0"/>
      <c r="AI12" s="125"/>
    </row>
    <row r="13" spans="1:35" s="124" customFormat="1" ht="66.75" customHeight="1">
      <c r="A13" s="136" t="s">
        <v>130</v>
      </c>
      <c r="B13" s="147">
        <v>3024.3</v>
      </c>
      <c r="C13" s="147"/>
      <c r="D13" s="141">
        <f>E13+G13</f>
        <v>3024.3</v>
      </c>
      <c r="E13" s="150"/>
      <c r="F13" s="147">
        <f>2944.6+259.7</f>
        <v>3204.2999999999997</v>
      </c>
      <c r="G13" s="141">
        <v>3024.3</v>
      </c>
      <c r="H13" s="147"/>
      <c r="I13" s="159">
        <f t="shared" si="1"/>
        <v>-179.99999999999955</v>
      </c>
      <c r="J13" s="128">
        <f t="shared" ref="J13:J44" si="5">G13*100/B13</f>
        <v>100</v>
      </c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0"/>
      <c r="AI13" s="125"/>
    </row>
    <row r="14" spans="1:35" s="124" customFormat="1" ht="131.25" customHeight="1">
      <c r="A14" s="136" t="s">
        <v>129</v>
      </c>
      <c r="B14" s="147">
        <v>49798.1</v>
      </c>
      <c r="C14" s="147"/>
      <c r="D14" s="141">
        <f>E14+G14</f>
        <v>14424.1</v>
      </c>
      <c r="E14" s="150"/>
      <c r="F14" s="147">
        <f>22500-300+9000+4800+7000</f>
        <v>43000</v>
      </c>
      <c r="G14" s="141">
        <v>14424.1</v>
      </c>
      <c r="H14" s="147"/>
      <c r="I14" s="159">
        <f t="shared" si="1"/>
        <v>-28575.9</v>
      </c>
      <c r="J14" s="128">
        <f t="shared" si="5"/>
        <v>28.965161321415877</v>
      </c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0"/>
      <c r="AI14" s="125"/>
    </row>
    <row r="15" spans="1:35" s="124" customFormat="1" ht="74.25" customHeight="1">
      <c r="A15" s="153" t="s">
        <v>128</v>
      </c>
      <c r="B15" s="148">
        <f t="shared" ref="B15:G15" si="6">B16+B18+B21</f>
        <v>901029</v>
      </c>
      <c r="C15" s="148">
        <f t="shared" si="6"/>
        <v>29331.200000000001</v>
      </c>
      <c r="D15" s="148">
        <f t="shared" si="6"/>
        <v>455590.5</v>
      </c>
      <c r="E15" s="148">
        <f t="shared" si="6"/>
        <v>0</v>
      </c>
      <c r="F15" s="148">
        <f t="shared" si="6"/>
        <v>801254.8</v>
      </c>
      <c r="G15" s="148">
        <f t="shared" si="6"/>
        <v>792456.3</v>
      </c>
      <c r="H15" s="148">
        <f>SUM(H16:H18)+H21</f>
        <v>0</v>
      </c>
      <c r="I15" s="150">
        <f t="shared" si="1"/>
        <v>-8798.5</v>
      </c>
      <c r="J15" s="128">
        <f t="shared" si="5"/>
        <v>87.950143669071693</v>
      </c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82"/>
      <c r="AI15" s="125"/>
    </row>
    <row r="16" spans="1:35" s="124" customFormat="1" ht="118.5" customHeight="1">
      <c r="A16" s="136" t="s">
        <v>127</v>
      </c>
      <c r="B16" s="147">
        <v>136410.70000000001</v>
      </c>
      <c r="C16" s="147">
        <v>1000</v>
      </c>
      <c r="D16" s="141">
        <f>E16+G16</f>
        <v>134524.70000000001</v>
      </c>
      <c r="E16" s="150"/>
      <c r="F16" s="147">
        <f>8000-278+5000+1500+48000+39000</f>
        <v>101222</v>
      </c>
      <c r="G16" s="141">
        <v>134524.70000000001</v>
      </c>
      <c r="H16" s="147"/>
      <c r="I16" s="159">
        <f t="shared" si="1"/>
        <v>33302.700000000012</v>
      </c>
      <c r="J16" s="128">
        <f t="shared" si="5"/>
        <v>98.617410511052285</v>
      </c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0"/>
      <c r="AI16" s="125"/>
    </row>
    <row r="17" spans="1:35" s="124" customFormat="1" ht="60" hidden="1" customHeight="1">
      <c r="A17" s="136" t="s">
        <v>126</v>
      </c>
      <c r="B17" s="146"/>
      <c r="C17" s="146"/>
      <c r="D17" s="141">
        <f>E17+G17</f>
        <v>0</v>
      </c>
      <c r="E17" s="150"/>
      <c r="F17" s="147"/>
      <c r="G17" s="141">
        <f>SUM(K17:AI17)</f>
        <v>0</v>
      </c>
      <c r="H17" s="147"/>
      <c r="I17" s="159">
        <f t="shared" si="1"/>
        <v>0</v>
      </c>
      <c r="J17" s="128" t="e">
        <f t="shared" si="5"/>
        <v>#DIV/0!</v>
      </c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0"/>
      <c r="AI17" s="125"/>
    </row>
    <row r="18" spans="1:35" s="124" customFormat="1" ht="72.75" customHeight="1">
      <c r="A18" s="136" t="s">
        <v>125</v>
      </c>
      <c r="B18" s="146">
        <v>313800.2</v>
      </c>
      <c r="C18" s="146"/>
      <c r="D18" s="141">
        <f>E18+G18</f>
        <v>255908.4</v>
      </c>
      <c r="E18" s="141">
        <f>E19+E20</f>
        <v>0</v>
      </c>
      <c r="F18" s="147">
        <f>31000+13150+21600+18600+53000+137742.3</f>
        <v>275092.3</v>
      </c>
      <c r="G18" s="141">
        <v>255908.4</v>
      </c>
      <c r="H18" s="147"/>
      <c r="I18" s="159">
        <f t="shared" si="1"/>
        <v>-19183.899999999994</v>
      </c>
      <c r="J18" s="128">
        <f t="shared" si="5"/>
        <v>81.55138205775522</v>
      </c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0"/>
      <c r="AI18" s="125"/>
    </row>
    <row r="19" spans="1:35" s="124" customFormat="1" ht="129.75" hidden="1" customHeight="1">
      <c r="A19" s="187" t="s">
        <v>124</v>
      </c>
      <c r="B19" s="190"/>
      <c r="C19" s="190"/>
      <c r="D19" s="185">
        <f>E19+G19</f>
        <v>0</v>
      </c>
      <c r="E19" s="192"/>
      <c r="F19" s="186"/>
      <c r="G19" s="185">
        <f>SUM(K19:AH19)</f>
        <v>0</v>
      </c>
      <c r="H19" s="186"/>
      <c r="I19" s="159">
        <f t="shared" si="1"/>
        <v>0</v>
      </c>
      <c r="J19" s="128" t="e">
        <f t="shared" si="5"/>
        <v>#DIV/0!</v>
      </c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30"/>
      <c r="AI19" s="125"/>
    </row>
    <row r="20" spans="1:35" s="124" customFormat="1" ht="112.5" hidden="1" customHeight="1">
      <c r="A20" s="187" t="s">
        <v>123</v>
      </c>
      <c r="B20" s="190"/>
      <c r="C20" s="190"/>
      <c r="D20" s="185">
        <f>E20+G20</f>
        <v>0</v>
      </c>
      <c r="E20" s="192"/>
      <c r="F20" s="186"/>
      <c r="G20" s="185">
        <f>SUM(K20:AH20)</f>
        <v>0</v>
      </c>
      <c r="H20" s="186"/>
      <c r="I20" s="159">
        <f t="shared" si="1"/>
        <v>0</v>
      </c>
      <c r="J20" s="128" t="e">
        <f t="shared" si="5"/>
        <v>#DIV/0!</v>
      </c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30"/>
      <c r="AI20" s="125"/>
    </row>
    <row r="21" spans="1:35" s="124" customFormat="1" ht="75.75" customHeight="1">
      <c r="A21" s="136" t="s">
        <v>122</v>
      </c>
      <c r="B21" s="146">
        <v>450818.1</v>
      </c>
      <c r="C21" s="146">
        <f>C22+C23</f>
        <v>28331.200000000001</v>
      </c>
      <c r="D21" s="146">
        <f>D22+D23</f>
        <v>65157.4</v>
      </c>
      <c r="E21" s="146">
        <f>E22+E23</f>
        <v>0</v>
      </c>
      <c r="F21" s="146">
        <f>109000+101645+85470+62325.5+31100+35400</f>
        <v>424940.5</v>
      </c>
      <c r="G21" s="146">
        <v>402023.2</v>
      </c>
      <c r="H21" s="141">
        <f>H22+H23</f>
        <v>0</v>
      </c>
      <c r="I21" s="159">
        <f t="shared" si="1"/>
        <v>-22917.299999999988</v>
      </c>
      <c r="J21" s="128">
        <f t="shared" si="5"/>
        <v>89.176366255037237</v>
      </c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91"/>
      <c r="AI21" s="125"/>
    </row>
    <row r="22" spans="1:35" s="124" customFormat="1" ht="57.75" hidden="1" customHeight="1">
      <c r="A22" s="187" t="s">
        <v>121</v>
      </c>
      <c r="B22" s="190">
        <v>447193.1</v>
      </c>
      <c r="C22" s="190">
        <v>0</v>
      </c>
      <c r="D22" s="185">
        <f>E22+G22</f>
        <v>63195.4</v>
      </c>
      <c r="E22" s="150"/>
      <c r="F22" s="186">
        <f>15000+3000</f>
        <v>18000</v>
      </c>
      <c r="G22" s="185">
        <v>63195.4</v>
      </c>
      <c r="H22" s="186"/>
      <c r="I22" s="150">
        <f t="shared" si="1"/>
        <v>45195.4</v>
      </c>
      <c r="J22" s="128">
        <f t="shared" si="5"/>
        <v>14.131568666868967</v>
      </c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7"/>
      <c r="AI22" s="125"/>
    </row>
    <row r="23" spans="1:35" s="124" customFormat="1" ht="63.75" hidden="1" customHeight="1">
      <c r="A23" s="187" t="s">
        <v>120</v>
      </c>
      <c r="B23" s="190">
        <v>67416</v>
      </c>
      <c r="C23" s="190">
        <v>28331.200000000001</v>
      </c>
      <c r="D23" s="185">
        <f>E23+G23</f>
        <v>1962</v>
      </c>
      <c r="E23" s="150"/>
      <c r="F23" s="186">
        <f>1000+960</f>
        <v>1960</v>
      </c>
      <c r="G23" s="185">
        <v>1962</v>
      </c>
      <c r="H23" s="186"/>
      <c r="I23" s="150">
        <f t="shared" si="1"/>
        <v>2</v>
      </c>
      <c r="J23" s="128">
        <f t="shared" si="5"/>
        <v>2.9102883588465644</v>
      </c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7"/>
      <c r="AI23" s="125"/>
    </row>
    <row r="24" spans="1:35" s="124" customFormat="1" ht="68.25" customHeight="1">
      <c r="A24" s="153" t="s">
        <v>119</v>
      </c>
      <c r="B24" s="148">
        <v>64975.9</v>
      </c>
      <c r="C24" s="148">
        <f>SUM(C25:C32)</f>
        <v>1168.0999999999999</v>
      </c>
      <c r="D24" s="148">
        <f>SUM(D25:D32)</f>
        <v>29199.199999999997</v>
      </c>
      <c r="E24" s="148">
        <f>SUM(E25:E32)</f>
        <v>0</v>
      </c>
      <c r="F24" s="148">
        <f>12666.7+14939+18343.7+6316+6311</f>
        <v>58576.4</v>
      </c>
      <c r="G24" s="148">
        <v>63403.3</v>
      </c>
      <c r="H24" s="148" t="e">
        <f>H25+#REF!+H27</f>
        <v>#REF!</v>
      </c>
      <c r="I24" s="150">
        <f t="shared" si="1"/>
        <v>4826.9000000000015</v>
      </c>
      <c r="J24" s="128">
        <f t="shared" si="5"/>
        <v>97.579718018526862</v>
      </c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82"/>
      <c r="AI24" s="125"/>
    </row>
    <row r="25" spans="1:35" s="124" customFormat="1" ht="167.25" hidden="1" customHeight="1">
      <c r="A25" s="189" t="s">
        <v>118</v>
      </c>
      <c r="B25" s="170">
        <v>30160</v>
      </c>
      <c r="C25" s="170">
        <v>790.6</v>
      </c>
      <c r="D25" s="178">
        <f>E25+G25</f>
        <v>16114.6</v>
      </c>
      <c r="E25" s="188"/>
      <c r="F25" s="170">
        <f>6950+7650</f>
        <v>14600</v>
      </c>
      <c r="G25" s="178">
        <v>16114.6</v>
      </c>
      <c r="H25" s="170"/>
      <c r="I25" s="150">
        <f t="shared" si="1"/>
        <v>1514.6000000000004</v>
      </c>
      <c r="J25" s="128">
        <f t="shared" si="5"/>
        <v>53.430371352785144</v>
      </c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0"/>
      <c r="AI25" s="125"/>
    </row>
    <row r="26" spans="1:35" s="124" customFormat="1" ht="167.25" hidden="1" customHeight="1">
      <c r="A26" s="189" t="s">
        <v>117</v>
      </c>
      <c r="B26" s="170"/>
      <c r="C26" s="170"/>
      <c r="D26" s="178"/>
      <c r="E26" s="188"/>
      <c r="F26" s="170"/>
      <c r="G26" s="178">
        <v>4.3</v>
      </c>
      <c r="H26" s="170"/>
      <c r="I26" s="150">
        <f t="shared" si="1"/>
        <v>4.3</v>
      </c>
      <c r="J26" s="128" t="e">
        <f t="shared" si="5"/>
        <v>#DIV/0!</v>
      </c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0"/>
      <c r="AI26" s="125"/>
    </row>
    <row r="27" spans="1:35" s="124" customFormat="1" ht="293.25" hidden="1" customHeight="1">
      <c r="A27" s="189" t="s">
        <v>116</v>
      </c>
      <c r="B27" s="170"/>
      <c r="C27" s="170">
        <v>377.5</v>
      </c>
      <c r="D27" s="178">
        <f>E27+G27</f>
        <v>1.8</v>
      </c>
      <c r="E27" s="188"/>
      <c r="F27" s="170"/>
      <c r="G27" s="178">
        <v>1.8</v>
      </c>
      <c r="H27" s="170"/>
      <c r="I27" s="150">
        <f t="shared" si="1"/>
        <v>1.8</v>
      </c>
      <c r="J27" s="128" t="e">
        <f t="shared" si="5"/>
        <v>#DIV/0!</v>
      </c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0"/>
      <c r="AI27" s="125"/>
    </row>
    <row r="28" spans="1:35" s="124" customFormat="1" ht="205.5" hidden="1" customHeight="1">
      <c r="A28" s="189" t="s">
        <v>115</v>
      </c>
      <c r="B28" s="170">
        <v>20600</v>
      </c>
      <c r="C28" s="170"/>
      <c r="D28" s="178">
        <f>E28+G28</f>
        <v>13082.8</v>
      </c>
      <c r="E28" s="188"/>
      <c r="F28" s="170">
        <f>5000+5100</f>
        <v>10100</v>
      </c>
      <c r="G28" s="178">
        <v>13082.8</v>
      </c>
      <c r="H28" s="170"/>
      <c r="I28" s="150">
        <f t="shared" si="1"/>
        <v>2982.7999999999993</v>
      </c>
      <c r="J28" s="128">
        <f t="shared" si="5"/>
        <v>63.508737864077673</v>
      </c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0"/>
      <c r="AI28" s="125"/>
    </row>
    <row r="29" spans="1:35" s="124" customFormat="1" ht="195.75" hidden="1" customHeight="1">
      <c r="A29" s="189" t="s">
        <v>114</v>
      </c>
      <c r="B29" s="170">
        <v>340</v>
      </c>
      <c r="C29" s="170"/>
      <c r="D29" s="178"/>
      <c r="E29" s="188"/>
      <c r="F29" s="170">
        <f>84.9+84.9</f>
        <v>169.8</v>
      </c>
      <c r="G29" s="178">
        <v>351.9</v>
      </c>
      <c r="H29" s="170"/>
      <c r="I29" s="150">
        <f t="shared" si="1"/>
        <v>182.09999999999997</v>
      </c>
      <c r="J29" s="128">
        <f t="shared" si="5"/>
        <v>103.5</v>
      </c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0"/>
      <c r="AI29" s="125"/>
    </row>
    <row r="30" spans="1:35" s="124" customFormat="1" ht="208.5" hidden="1" customHeight="1">
      <c r="A30" s="189" t="s">
        <v>113</v>
      </c>
      <c r="B30" s="170">
        <v>900</v>
      </c>
      <c r="C30" s="170"/>
      <c r="D30" s="178"/>
      <c r="E30" s="188"/>
      <c r="F30" s="170">
        <f>225+225</f>
        <v>450</v>
      </c>
      <c r="G30" s="178">
        <v>466.9</v>
      </c>
      <c r="H30" s="170"/>
      <c r="I30" s="150">
        <f t="shared" si="1"/>
        <v>16.899999999999977</v>
      </c>
      <c r="J30" s="128">
        <f t="shared" si="5"/>
        <v>51.87777777777778</v>
      </c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0"/>
      <c r="AI30" s="125"/>
    </row>
    <row r="31" spans="1:35" s="124" customFormat="1" ht="153" hidden="1" customHeight="1">
      <c r="A31" s="189" t="s">
        <v>112</v>
      </c>
      <c r="B31" s="170">
        <v>696.8</v>
      </c>
      <c r="C31" s="170"/>
      <c r="D31" s="178"/>
      <c r="E31" s="188"/>
      <c r="F31" s="170">
        <f>137+184.8</f>
        <v>321.8</v>
      </c>
      <c r="G31" s="178">
        <v>140</v>
      </c>
      <c r="H31" s="170"/>
      <c r="I31" s="150">
        <f t="shared" si="1"/>
        <v>-181.8</v>
      </c>
      <c r="J31" s="128">
        <f t="shared" si="5"/>
        <v>20.091848450057405</v>
      </c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0"/>
      <c r="AI31" s="125"/>
    </row>
    <row r="32" spans="1:35" s="124" customFormat="1" ht="205.5" hidden="1" customHeight="1">
      <c r="A32" s="189" t="s">
        <v>111</v>
      </c>
      <c r="B32" s="170">
        <v>32.799999999999997</v>
      </c>
      <c r="C32" s="170"/>
      <c r="D32" s="178"/>
      <c r="E32" s="188"/>
      <c r="F32" s="170">
        <v>8.8000000000000007</v>
      </c>
      <c r="G32" s="178">
        <v>6.4</v>
      </c>
      <c r="H32" s="170"/>
      <c r="I32" s="150">
        <f t="shared" si="1"/>
        <v>-2.4000000000000004</v>
      </c>
      <c r="J32" s="128">
        <f t="shared" si="5"/>
        <v>19.512195121951223</v>
      </c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0"/>
      <c r="AI32" s="125"/>
    </row>
    <row r="33" spans="1:35" s="124" customFormat="1" ht="123.75" hidden="1" customHeight="1">
      <c r="A33" s="153" t="s">
        <v>110</v>
      </c>
      <c r="B33" s="148"/>
      <c r="C33" s="148"/>
      <c r="D33" s="150"/>
      <c r="E33" s="150"/>
      <c r="F33" s="148"/>
      <c r="G33" s="150"/>
      <c r="H33" s="150">
        <f>F33-E33</f>
        <v>0</v>
      </c>
      <c r="I33" s="150">
        <f t="shared" si="1"/>
        <v>0</v>
      </c>
      <c r="J33" s="128" t="e">
        <f t="shared" si="5"/>
        <v>#DIV/0!</v>
      </c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82"/>
      <c r="AI33" s="125"/>
    </row>
    <row r="34" spans="1:35" s="124" customFormat="1" ht="0.75" hidden="1" customHeight="1">
      <c r="A34" s="187" t="s">
        <v>109</v>
      </c>
      <c r="B34" s="186">
        <v>0</v>
      </c>
      <c r="C34" s="186"/>
      <c r="D34" s="150">
        <f t="shared" ref="D34:D41" si="7">E34+G34</f>
        <v>0</v>
      </c>
      <c r="E34" s="150"/>
      <c r="F34" s="186"/>
      <c r="G34" s="150">
        <f>SUM(K34:AH34)</f>
        <v>0</v>
      </c>
      <c r="H34" s="186"/>
      <c r="I34" s="150">
        <f t="shared" si="1"/>
        <v>0</v>
      </c>
      <c r="J34" s="128" t="e">
        <f t="shared" si="5"/>
        <v>#DIV/0!</v>
      </c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7"/>
      <c r="AI34" s="125"/>
    </row>
    <row r="35" spans="1:35" s="124" customFormat="1" ht="89.25" hidden="1" customHeight="1">
      <c r="A35" s="187" t="s">
        <v>108</v>
      </c>
      <c r="B35" s="186"/>
      <c r="C35" s="186"/>
      <c r="D35" s="150">
        <f t="shared" si="7"/>
        <v>0</v>
      </c>
      <c r="E35" s="150"/>
      <c r="F35" s="186"/>
      <c r="G35" s="150">
        <f>SUM(K35:AH35)</f>
        <v>0</v>
      </c>
      <c r="H35" s="186"/>
      <c r="I35" s="150">
        <f t="shared" si="1"/>
        <v>0</v>
      </c>
      <c r="J35" s="128" t="e">
        <f t="shared" si="5"/>
        <v>#DIV/0!</v>
      </c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7"/>
      <c r="AI35" s="125"/>
    </row>
    <row r="36" spans="1:35" s="124" customFormat="1" ht="101.25" hidden="1" customHeight="1">
      <c r="A36" s="187" t="s">
        <v>107</v>
      </c>
      <c r="B36" s="186"/>
      <c r="C36" s="186">
        <v>1000</v>
      </c>
      <c r="D36" s="185">
        <f t="shared" si="7"/>
        <v>0</v>
      </c>
      <c r="E36" s="150"/>
      <c r="F36" s="186"/>
      <c r="G36" s="150">
        <f>SUM(K36:AH36)</f>
        <v>0</v>
      </c>
      <c r="H36" s="186"/>
      <c r="I36" s="150">
        <f t="shared" si="1"/>
        <v>0</v>
      </c>
      <c r="J36" s="128" t="e">
        <f t="shared" si="5"/>
        <v>#DIV/0!</v>
      </c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7"/>
      <c r="AI36" s="125"/>
    </row>
    <row r="37" spans="1:35" s="124" customFormat="1" ht="115.5" hidden="1" customHeight="1">
      <c r="A37" s="187" t="s">
        <v>106</v>
      </c>
      <c r="B37" s="186"/>
      <c r="C37" s="186"/>
      <c r="D37" s="185">
        <f t="shared" si="7"/>
        <v>0</v>
      </c>
      <c r="E37" s="150"/>
      <c r="F37" s="186"/>
      <c r="G37" s="150">
        <f>SUM(K37:AH37)</f>
        <v>0</v>
      </c>
      <c r="H37" s="186"/>
      <c r="I37" s="150">
        <f t="shared" ref="I37:I68" si="8">G37-F37</f>
        <v>0</v>
      </c>
      <c r="J37" s="128" t="e">
        <f t="shared" si="5"/>
        <v>#DIV/0!</v>
      </c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7"/>
      <c r="AI37" s="125"/>
    </row>
    <row r="38" spans="1:35" s="124" customFormat="1" ht="115.5" hidden="1" customHeight="1">
      <c r="A38" s="187" t="s">
        <v>105</v>
      </c>
      <c r="B38" s="186"/>
      <c r="C38" s="186"/>
      <c r="D38" s="185">
        <f t="shared" si="7"/>
        <v>0</v>
      </c>
      <c r="E38" s="150"/>
      <c r="F38" s="147"/>
      <c r="G38" s="150">
        <f>SUM(K38:AH38)</f>
        <v>0</v>
      </c>
      <c r="H38" s="160"/>
      <c r="I38" s="150">
        <f t="shared" si="8"/>
        <v>0</v>
      </c>
      <c r="J38" s="128" t="e">
        <f t="shared" si="5"/>
        <v>#DIV/0!</v>
      </c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7"/>
      <c r="AI38" s="125"/>
    </row>
    <row r="39" spans="1:35" s="124" customFormat="1" ht="118.5" hidden="1" customHeight="1">
      <c r="A39" s="187" t="s">
        <v>104</v>
      </c>
      <c r="B39" s="186"/>
      <c r="C39" s="186"/>
      <c r="D39" s="185">
        <f t="shared" si="7"/>
        <v>1.5</v>
      </c>
      <c r="E39" s="150"/>
      <c r="F39" s="147"/>
      <c r="G39" s="150">
        <v>1.5</v>
      </c>
      <c r="H39" s="160"/>
      <c r="I39" s="150">
        <f t="shared" si="8"/>
        <v>1.5</v>
      </c>
      <c r="J39" s="128" t="e">
        <f t="shared" si="5"/>
        <v>#DIV/0!</v>
      </c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7"/>
      <c r="AI39" s="125"/>
    </row>
    <row r="40" spans="1:35" s="124" customFormat="1" ht="95.25" hidden="1" customHeight="1">
      <c r="A40" s="187" t="s">
        <v>103</v>
      </c>
      <c r="B40" s="186"/>
      <c r="C40" s="186"/>
      <c r="D40" s="185">
        <f t="shared" si="7"/>
        <v>0</v>
      </c>
      <c r="E40" s="150"/>
      <c r="F40" s="147"/>
      <c r="G40" s="150">
        <f>SUM(K40:AH40)</f>
        <v>0</v>
      </c>
      <c r="H40" s="160"/>
      <c r="I40" s="150">
        <f t="shared" si="8"/>
        <v>0</v>
      </c>
      <c r="J40" s="128" t="e">
        <f t="shared" si="5"/>
        <v>#DIV/0!</v>
      </c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7"/>
      <c r="AI40" s="125"/>
    </row>
    <row r="41" spans="1:35" s="124" customFormat="1" ht="92.25" hidden="1" customHeight="1">
      <c r="A41" s="187" t="s">
        <v>102</v>
      </c>
      <c r="B41" s="186"/>
      <c r="C41" s="186"/>
      <c r="D41" s="185">
        <f t="shared" si="7"/>
        <v>0</v>
      </c>
      <c r="E41" s="150"/>
      <c r="F41" s="147"/>
      <c r="G41" s="150">
        <f>SUM(K41:AH41)</f>
        <v>0</v>
      </c>
      <c r="H41" s="160"/>
      <c r="I41" s="150">
        <f t="shared" si="8"/>
        <v>0</v>
      </c>
      <c r="J41" s="128" t="e">
        <f t="shared" si="5"/>
        <v>#DIV/0!</v>
      </c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7"/>
      <c r="AI41" s="125"/>
    </row>
    <row r="42" spans="1:35" s="124" customFormat="1" ht="80.25" customHeight="1">
      <c r="A42" s="184" t="s">
        <v>101</v>
      </c>
      <c r="B42" s="150">
        <f t="shared" ref="B42:G42" si="9">B43+B44+B50+B51+B52+B53+B56+B57+B58+B59+B61+B62+B63+B66+B67+B70+B74</f>
        <v>393176.51999999996</v>
      </c>
      <c r="C42" s="150">
        <f t="shared" si="9"/>
        <v>36923.9</v>
      </c>
      <c r="D42" s="150">
        <f t="shared" si="9"/>
        <v>285575.59999999998</v>
      </c>
      <c r="E42" s="150">
        <f t="shared" si="9"/>
        <v>0</v>
      </c>
      <c r="F42" s="150">
        <f t="shared" si="9"/>
        <v>306387.30000000005</v>
      </c>
      <c r="G42" s="150">
        <f t="shared" si="9"/>
        <v>328502.59999999992</v>
      </c>
      <c r="H42" s="150" t="e">
        <f>H43+H44+H51+H52+H53+H54+H57+#REF!+#REF!+H60+H63+H67+H70+H71+H74</f>
        <v>#REF!</v>
      </c>
      <c r="I42" s="150">
        <f t="shared" si="8"/>
        <v>22115.299999999872</v>
      </c>
      <c r="J42" s="128">
        <f t="shared" si="5"/>
        <v>83.550920080375079</v>
      </c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5"/>
    </row>
    <row r="43" spans="1:35" s="124" customFormat="1" ht="135" customHeight="1">
      <c r="A43" s="164" t="s">
        <v>100</v>
      </c>
      <c r="B43" s="168">
        <v>609.5</v>
      </c>
      <c r="C43" s="168"/>
      <c r="D43" s="163">
        <f>E43+G43</f>
        <v>609.5</v>
      </c>
      <c r="E43" s="162"/>
      <c r="F43" s="168">
        <f>250+359.5</f>
        <v>609.5</v>
      </c>
      <c r="G43" s="168">
        <v>609.5</v>
      </c>
      <c r="H43" s="168"/>
      <c r="I43" s="159">
        <f t="shared" si="8"/>
        <v>0</v>
      </c>
      <c r="J43" s="128">
        <f t="shared" si="5"/>
        <v>100</v>
      </c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0"/>
      <c r="AI43" s="125"/>
    </row>
    <row r="44" spans="1:35" s="124" customFormat="1" ht="135" customHeight="1">
      <c r="A44" s="183" t="s">
        <v>99</v>
      </c>
      <c r="B44" s="167">
        <f t="shared" ref="B44:G44" si="10">B45+B47+B48+B49</f>
        <v>248296.49999999997</v>
      </c>
      <c r="C44" s="167">
        <f t="shared" si="10"/>
        <v>31363.4</v>
      </c>
      <c r="D44" s="167">
        <f t="shared" si="10"/>
        <v>218472.6</v>
      </c>
      <c r="E44" s="167">
        <f t="shared" si="10"/>
        <v>0</v>
      </c>
      <c r="F44" s="167">
        <f t="shared" si="10"/>
        <v>216601.80000000002</v>
      </c>
      <c r="G44" s="167">
        <f t="shared" si="10"/>
        <v>219953.9</v>
      </c>
      <c r="H44" s="148" t="e">
        <f>#REF!+H45+H49+H51</f>
        <v>#REF!</v>
      </c>
      <c r="I44" s="150">
        <f t="shared" si="8"/>
        <v>3352.0999999999767</v>
      </c>
      <c r="J44" s="128">
        <f t="shared" si="5"/>
        <v>88.585179412516894</v>
      </c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82"/>
      <c r="AI44" s="125"/>
    </row>
    <row r="45" spans="1:35" s="124" customFormat="1" ht="255.75" customHeight="1">
      <c r="A45" s="177" t="s">
        <v>98</v>
      </c>
      <c r="B45" s="174">
        <v>198822</v>
      </c>
      <c r="C45" s="174">
        <v>15539.2</v>
      </c>
      <c r="D45" s="176">
        <f>E45+G45</f>
        <v>165419.70000000001</v>
      </c>
      <c r="E45" s="175"/>
      <c r="F45" s="174">
        <f>40177.3+48700+55499.5+15150+10100</f>
        <v>169626.8</v>
      </c>
      <c r="G45" s="159">
        <v>165419.70000000001</v>
      </c>
      <c r="H45" s="151"/>
      <c r="I45" s="159">
        <f t="shared" si="8"/>
        <v>-4207.0999999999767</v>
      </c>
      <c r="J45" s="128">
        <f t="shared" ref="J45:J74" si="11">G45*100/B45</f>
        <v>83.199897395660443</v>
      </c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7"/>
      <c r="AI45" s="125"/>
    </row>
    <row r="46" spans="1:35" s="124" customFormat="1" ht="29.25" hidden="1" customHeight="1">
      <c r="A46" s="177" t="s">
        <v>97</v>
      </c>
      <c r="B46" s="174"/>
      <c r="C46" s="174"/>
      <c r="D46" s="176">
        <f>E46+G46</f>
        <v>0</v>
      </c>
      <c r="E46" s="175"/>
      <c r="F46" s="174"/>
      <c r="G46" s="159"/>
      <c r="H46" s="151"/>
      <c r="I46" s="159">
        <f t="shared" si="8"/>
        <v>0</v>
      </c>
      <c r="J46" s="128" t="e">
        <f t="shared" si="11"/>
        <v>#DIV/0!</v>
      </c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7"/>
      <c r="AI46" s="125"/>
    </row>
    <row r="47" spans="1:35" s="124" customFormat="1" ht="252" customHeight="1">
      <c r="A47" s="177" t="s">
        <v>96</v>
      </c>
      <c r="B47" s="174">
        <v>40925.300000000003</v>
      </c>
      <c r="C47" s="174"/>
      <c r="D47" s="176">
        <f>E47+G47</f>
        <v>46045.9</v>
      </c>
      <c r="E47" s="175"/>
      <c r="F47" s="174">
        <f>3455.5+26209.4+5470.2+900+1290</f>
        <v>37325.1</v>
      </c>
      <c r="G47" s="159">
        <v>46045.9</v>
      </c>
      <c r="H47" s="151"/>
      <c r="I47" s="159">
        <f t="shared" si="8"/>
        <v>8720.8000000000029</v>
      </c>
      <c r="J47" s="128">
        <f t="shared" si="11"/>
        <v>112.5120646641564</v>
      </c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7"/>
      <c r="AI47" s="125"/>
    </row>
    <row r="48" spans="1:35" s="124" customFormat="1" ht="213" customHeight="1">
      <c r="A48" s="177" t="s">
        <v>95</v>
      </c>
      <c r="B48" s="174">
        <v>1471.9</v>
      </c>
      <c r="C48" s="174"/>
      <c r="D48" s="176"/>
      <c r="E48" s="175"/>
      <c r="F48" s="174">
        <f>380+380.7+404.7+126.9+126.9</f>
        <v>1419.2000000000003</v>
      </c>
      <c r="G48" s="159">
        <v>1481.3</v>
      </c>
      <c r="H48" s="151"/>
      <c r="I48" s="159">
        <f t="shared" si="8"/>
        <v>62.099999999999682</v>
      </c>
      <c r="J48" s="128">
        <f t="shared" si="11"/>
        <v>100.63863034173517</v>
      </c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7"/>
      <c r="AI48" s="125"/>
    </row>
    <row r="49" spans="1:35" s="124" customFormat="1" ht="188.25" customHeight="1">
      <c r="A49" s="177" t="s">
        <v>94</v>
      </c>
      <c r="B49" s="174">
        <v>7077.3</v>
      </c>
      <c r="C49" s="174">
        <v>15824.2</v>
      </c>
      <c r="D49" s="176">
        <f t="shared" ref="D49:D55" si="12">E49+G49</f>
        <v>7007</v>
      </c>
      <c r="E49" s="175"/>
      <c r="F49" s="174">
        <f>2301.5+2279.2+2250+700+700</f>
        <v>8230.7000000000007</v>
      </c>
      <c r="G49" s="159">
        <v>7007</v>
      </c>
      <c r="H49" s="151"/>
      <c r="I49" s="159">
        <f t="shared" si="8"/>
        <v>-1223.7000000000007</v>
      </c>
      <c r="J49" s="128">
        <f t="shared" si="11"/>
        <v>99.006683339691691</v>
      </c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7"/>
      <c r="AI49" s="125"/>
    </row>
    <row r="50" spans="1:35" s="124" customFormat="1" ht="81" customHeight="1">
      <c r="A50" s="177" t="s">
        <v>93</v>
      </c>
      <c r="B50" s="174">
        <v>318.8</v>
      </c>
      <c r="C50" s="174"/>
      <c r="D50" s="176">
        <f t="shared" si="12"/>
        <v>360.2</v>
      </c>
      <c r="E50" s="175"/>
      <c r="F50" s="174">
        <v>161</v>
      </c>
      <c r="G50" s="159">
        <v>360.2</v>
      </c>
      <c r="H50" s="151"/>
      <c r="I50" s="159">
        <f t="shared" si="8"/>
        <v>199.2</v>
      </c>
      <c r="J50" s="128">
        <f t="shared" si="11"/>
        <v>112.9861982434128</v>
      </c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7"/>
      <c r="AI50" s="125"/>
    </row>
    <row r="51" spans="1:35" s="124" customFormat="1" ht="198" customHeight="1">
      <c r="A51" s="164" t="s">
        <v>92</v>
      </c>
      <c r="B51" s="168">
        <v>660.8</v>
      </c>
      <c r="C51" s="168">
        <v>409</v>
      </c>
      <c r="D51" s="163">
        <f t="shared" si="12"/>
        <v>660.8</v>
      </c>
      <c r="E51" s="162"/>
      <c r="F51" s="168">
        <v>1440</v>
      </c>
      <c r="G51" s="159">
        <v>660.8</v>
      </c>
      <c r="H51" s="151"/>
      <c r="I51" s="159">
        <f t="shared" si="8"/>
        <v>-779.2</v>
      </c>
      <c r="J51" s="128">
        <f t="shared" si="11"/>
        <v>100</v>
      </c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0"/>
      <c r="AI51" s="125"/>
    </row>
    <row r="52" spans="1:35" s="124" customFormat="1" ht="87.75" customHeight="1">
      <c r="A52" s="164" t="s">
        <v>91</v>
      </c>
      <c r="B52" s="168">
        <f>8095.2+29958.1</f>
        <v>38053.299999999996</v>
      </c>
      <c r="C52" s="168">
        <v>2158</v>
      </c>
      <c r="D52" s="163">
        <f t="shared" si="12"/>
        <v>37166.9</v>
      </c>
      <c r="E52" s="162"/>
      <c r="F52" s="168">
        <f>5325.9+15524.8+6778+2717.5+1980.4</f>
        <v>32326.6</v>
      </c>
      <c r="G52" s="159">
        <f>8183.8+28983.1</f>
        <v>37166.9</v>
      </c>
      <c r="H52" s="151"/>
      <c r="I52" s="159">
        <f t="shared" si="8"/>
        <v>4840.3000000000029</v>
      </c>
      <c r="J52" s="128">
        <f t="shared" si="11"/>
        <v>97.670635661033344</v>
      </c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0"/>
      <c r="AI52" s="125"/>
    </row>
    <row r="53" spans="1:35" s="124" customFormat="1" ht="87" customHeight="1">
      <c r="A53" s="164" t="s">
        <v>90</v>
      </c>
      <c r="B53" s="168">
        <v>737.2</v>
      </c>
      <c r="C53" s="168">
        <v>950</v>
      </c>
      <c r="D53" s="163">
        <f t="shared" si="12"/>
        <v>667.5</v>
      </c>
      <c r="E53" s="162"/>
      <c r="F53" s="168">
        <f>526.8+70.8+70.8+60.1+5</f>
        <v>733.49999999999989</v>
      </c>
      <c r="G53" s="159">
        <v>667.5</v>
      </c>
      <c r="H53" s="151"/>
      <c r="I53" s="159">
        <f t="shared" si="8"/>
        <v>-65.999999999999886</v>
      </c>
      <c r="J53" s="128">
        <f t="shared" si="11"/>
        <v>90.545306565382518</v>
      </c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0"/>
      <c r="AI53" s="125"/>
    </row>
    <row r="54" spans="1:35" s="124" customFormat="1" ht="96" hidden="1" customHeight="1">
      <c r="A54" s="164" t="s">
        <v>89</v>
      </c>
      <c r="B54" s="168"/>
      <c r="C54" s="168">
        <v>42.9</v>
      </c>
      <c r="D54" s="163">
        <f t="shared" si="12"/>
        <v>0</v>
      </c>
      <c r="E54" s="162"/>
      <c r="F54" s="168"/>
      <c r="G54" s="159"/>
      <c r="H54" s="151"/>
      <c r="I54" s="159">
        <f t="shared" si="8"/>
        <v>0</v>
      </c>
      <c r="J54" s="128" t="e">
        <f t="shared" si="11"/>
        <v>#DIV/0!</v>
      </c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0"/>
      <c r="AI54" s="125"/>
    </row>
    <row r="55" spans="1:35" s="124" customFormat="1" ht="100.5" hidden="1" customHeight="1">
      <c r="A55" s="164" t="s">
        <v>88</v>
      </c>
      <c r="B55" s="168"/>
      <c r="C55" s="168">
        <v>0</v>
      </c>
      <c r="D55" s="163">
        <f t="shared" si="12"/>
        <v>0</v>
      </c>
      <c r="E55" s="162"/>
      <c r="F55" s="168"/>
      <c r="G55" s="159"/>
      <c r="H55" s="151"/>
      <c r="I55" s="159">
        <f t="shared" si="8"/>
        <v>0</v>
      </c>
      <c r="J55" s="128" t="e">
        <f t="shared" si="11"/>
        <v>#DIV/0!</v>
      </c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0"/>
      <c r="AI55" s="125"/>
    </row>
    <row r="56" spans="1:35" s="124" customFormat="1" ht="69.75" customHeight="1">
      <c r="A56" s="164" t="s">
        <v>87</v>
      </c>
      <c r="B56" s="168">
        <v>2748.3</v>
      </c>
      <c r="C56" s="168"/>
      <c r="D56" s="163"/>
      <c r="E56" s="162"/>
      <c r="F56" s="168">
        <f>686.7+686.7+686.7+228.9+228.9</f>
        <v>2517.9000000000005</v>
      </c>
      <c r="G56" s="159">
        <v>3014.1</v>
      </c>
      <c r="H56" s="151"/>
      <c r="I56" s="159">
        <f t="shared" si="8"/>
        <v>496.19999999999936</v>
      </c>
      <c r="J56" s="128">
        <f t="shared" si="11"/>
        <v>109.67143324964523</v>
      </c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0"/>
      <c r="AI56" s="125"/>
    </row>
    <row r="57" spans="1:35" s="124" customFormat="1" ht="188.25" customHeight="1">
      <c r="A57" s="164" t="s">
        <v>86</v>
      </c>
      <c r="B57" s="168">
        <v>106.3</v>
      </c>
      <c r="C57" s="168"/>
      <c r="D57" s="163">
        <f>E57+G57</f>
        <v>128.30000000000001</v>
      </c>
      <c r="E57" s="162"/>
      <c r="F57" s="168">
        <f>49+62.8+1.1+0.3</f>
        <v>113.19999999999999</v>
      </c>
      <c r="G57" s="159">
        <v>128.30000000000001</v>
      </c>
      <c r="H57" s="151"/>
      <c r="I57" s="159">
        <f t="shared" si="8"/>
        <v>15.100000000000023</v>
      </c>
      <c r="J57" s="128">
        <f t="shared" si="11"/>
        <v>120.69614299153342</v>
      </c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0"/>
      <c r="AI57" s="125"/>
    </row>
    <row r="58" spans="1:35" s="124" customFormat="1" ht="123.75" customHeight="1">
      <c r="A58" s="164" t="s">
        <v>85</v>
      </c>
      <c r="B58" s="168">
        <v>3431.6</v>
      </c>
      <c r="C58" s="168"/>
      <c r="D58" s="163">
        <f>E58+G58</f>
        <v>4252.1000000000004</v>
      </c>
      <c r="E58" s="162"/>
      <c r="F58" s="168">
        <f>820.5+324.7+753.5+30+30</f>
        <v>1958.7</v>
      </c>
      <c r="G58" s="159">
        <v>4252.1000000000004</v>
      </c>
      <c r="H58" s="151"/>
      <c r="I58" s="159">
        <f t="shared" si="8"/>
        <v>2293.4000000000005</v>
      </c>
      <c r="J58" s="128">
        <f t="shared" si="11"/>
        <v>123.91012938570931</v>
      </c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0"/>
      <c r="AI58" s="125"/>
    </row>
    <row r="59" spans="1:35" s="124" customFormat="1" ht="126.75" customHeight="1">
      <c r="A59" s="164" t="s">
        <v>84</v>
      </c>
      <c r="B59" s="168">
        <v>61.7</v>
      </c>
      <c r="C59" s="168"/>
      <c r="D59" s="163">
        <f>E59+G59</f>
        <v>61.7</v>
      </c>
      <c r="E59" s="162"/>
      <c r="F59" s="168">
        <f>302+300+300</f>
        <v>902</v>
      </c>
      <c r="G59" s="159">
        <v>61.7</v>
      </c>
      <c r="H59" s="151"/>
      <c r="I59" s="159">
        <f t="shared" si="8"/>
        <v>-840.3</v>
      </c>
      <c r="J59" s="128">
        <f t="shared" si="11"/>
        <v>100</v>
      </c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0"/>
      <c r="AI59" s="125"/>
    </row>
    <row r="60" spans="1:35" s="124" customFormat="1" ht="103.5" hidden="1" customHeight="1">
      <c r="A60" s="164" t="s">
        <v>83</v>
      </c>
      <c r="B60" s="168"/>
      <c r="C60" s="168"/>
      <c r="D60" s="163"/>
      <c r="E60" s="162"/>
      <c r="F60" s="168"/>
      <c r="G60" s="159"/>
      <c r="H60" s="151"/>
      <c r="I60" s="159">
        <f t="shared" si="8"/>
        <v>0</v>
      </c>
      <c r="J60" s="128" t="e">
        <f t="shared" si="11"/>
        <v>#DIV/0!</v>
      </c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0"/>
      <c r="AI60" s="125"/>
    </row>
    <row r="61" spans="1:35" s="124" customFormat="1" ht="120.75" customHeight="1">
      <c r="A61" s="177" t="s">
        <v>82</v>
      </c>
      <c r="B61" s="174">
        <v>762.12</v>
      </c>
      <c r="C61" s="174"/>
      <c r="D61" s="176">
        <f>E61+G61</f>
        <v>772</v>
      </c>
      <c r="E61" s="175"/>
      <c r="F61" s="174">
        <f>375+10+556.6+50+56.4+50</f>
        <v>1098</v>
      </c>
      <c r="G61" s="159">
        <f>9.9+762.1</f>
        <v>772</v>
      </c>
      <c r="H61" s="151"/>
      <c r="I61" s="159">
        <f t="shared" si="8"/>
        <v>-326</v>
      </c>
      <c r="J61" s="128">
        <f t="shared" si="11"/>
        <v>101.29638377158453</v>
      </c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81"/>
      <c r="AI61" s="125"/>
    </row>
    <row r="62" spans="1:35" s="124" customFormat="1" ht="75" customHeight="1">
      <c r="A62" s="177" t="s">
        <v>81</v>
      </c>
      <c r="B62" s="174">
        <v>432.4</v>
      </c>
      <c r="C62" s="174"/>
      <c r="D62" s="176">
        <f>E62+G62</f>
        <v>443</v>
      </c>
      <c r="E62" s="175"/>
      <c r="F62" s="174">
        <f>93+276.3+92+92</f>
        <v>553.29999999999995</v>
      </c>
      <c r="G62" s="159">
        <v>443</v>
      </c>
      <c r="H62" s="151"/>
      <c r="I62" s="159">
        <f t="shared" si="8"/>
        <v>-110.29999999999995</v>
      </c>
      <c r="J62" s="128">
        <f t="shared" si="11"/>
        <v>102.45143385753931</v>
      </c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81"/>
      <c r="AI62" s="125"/>
    </row>
    <row r="63" spans="1:35" s="124" customFormat="1" ht="82.5" customHeight="1">
      <c r="A63" s="177" t="s">
        <v>80</v>
      </c>
      <c r="B63" s="174">
        <v>16822.8</v>
      </c>
      <c r="C63" s="174">
        <f>SUM(C64:C65)</f>
        <v>0</v>
      </c>
      <c r="D63" s="174">
        <f>SUM(D64:D65)</f>
        <v>0</v>
      </c>
      <c r="E63" s="174">
        <f>SUM(E64:E65)</f>
        <v>0</v>
      </c>
      <c r="F63" s="174">
        <f>3300+4700+5100+1700+1992.8</f>
        <v>16792.8</v>
      </c>
      <c r="G63" s="174">
        <v>17408.599999999999</v>
      </c>
      <c r="H63" s="151">
        <f>H64+H65</f>
        <v>0</v>
      </c>
      <c r="I63" s="159">
        <f t="shared" si="8"/>
        <v>615.79999999999927</v>
      </c>
      <c r="J63" s="128">
        <f t="shared" si="11"/>
        <v>103.48217894761869</v>
      </c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  <c r="AH63" s="137"/>
      <c r="AI63" s="125"/>
    </row>
    <row r="64" spans="1:35" s="124" customFormat="1" ht="72" hidden="1" customHeight="1">
      <c r="A64" s="166" t="s">
        <v>79</v>
      </c>
      <c r="B64" s="161">
        <v>19950.900000000001</v>
      </c>
      <c r="C64" s="161"/>
      <c r="D64" s="180"/>
      <c r="E64" s="179"/>
      <c r="F64" s="161">
        <f>5590.9+4410</f>
        <v>10000.9</v>
      </c>
      <c r="G64" s="178">
        <v>18918.7</v>
      </c>
      <c r="H64" s="170"/>
      <c r="I64" s="159">
        <f t="shared" si="8"/>
        <v>8917.8000000000011</v>
      </c>
      <c r="J64" s="128">
        <f t="shared" si="11"/>
        <v>94.826298562972084</v>
      </c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7"/>
      <c r="AI64" s="125"/>
    </row>
    <row r="65" spans="1:35" s="124" customFormat="1" ht="98.25" hidden="1" customHeight="1">
      <c r="A65" s="166" t="s">
        <v>78</v>
      </c>
      <c r="B65" s="161">
        <v>3723.7</v>
      </c>
      <c r="C65" s="161"/>
      <c r="D65" s="180"/>
      <c r="E65" s="179"/>
      <c r="F65" s="161">
        <v>3723.7</v>
      </c>
      <c r="G65" s="178">
        <v>3862.4</v>
      </c>
      <c r="H65" s="170"/>
      <c r="I65" s="159">
        <f t="shared" si="8"/>
        <v>138.70000000000027</v>
      </c>
      <c r="J65" s="128">
        <f t="shared" si="11"/>
        <v>103.72478985954831</v>
      </c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7"/>
      <c r="AI65" s="125"/>
    </row>
    <row r="66" spans="1:35" s="124" customFormat="1" ht="78" customHeight="1">
      <c r="A66" s="177" t="s">
        <v>77</v>
      </c>
      <c r="B66" s="174">
        <v>58631</v>
      </c>
      <c r="C66" s="174"/>
      <c r="D66" s="176"/>
      <c r="E66" s="175"/>
      <c r="F66" s="174">
        <f>2216.7+4204.5+2214.5+931+500</f>
        <v>10066.700000000001</v>
      </c>
      <c r="G66" s="159">
        <v>21023</v>
      </c>
      <c r="H66" s="151"/>
      <c r="I66" s="159">
        <f t="shared" si="8"/>
        <v>10956.3</v>
      </c>
      <c r="J66" s="128">
        <f t="shared" si="11"/>
        <v>35.856458187648172</v>
      </c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7"/>
      <c r="AI66" s="125"/>
    </row>
    <row r="67" spans="1:35" s="124" customFormat="1" ht="67.5" customHeight="1">
      <c r="A67" s="164" t="s">
        <v>76</v>
      </c>
      <c r="B67" s="168">
        <v>19846.3</v>
      </c>
      <c r="C67" s="168">
        <v>2043.5</v>
      </c>
      <c r="D67" s="163">
        <f t="shared" ref="D67:D74" si="13">E67+G67</f>
        <v>18257.400000000001</v>
      </c>
      <c r="E67" s="163"/>
      <c r="F67" s="168">
        <f>3318.4+9337+3888.9+1125.6+1106.3</f>
        <v>18776.199999999997</v>
      </c>
      <c r="G67" s="159">
        <v>18257.400000000001</v>
      </c>
      <c r="H67" s="151"/>
      <c r="I67" s="159">
        <f t="shared" si="8"/>
        <v>-518.79999999999563</v>
      </c>
      <c r="J67" s="128">
        <f t="shared" si="11"/>
        <v>91.993973687790685</v>
      </c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0"/>
      <c r="AI67" s="125"/>
    </row>
    <row r="68" spans="1:35" s="124" customFormat="1" ht="3" hidden="1" customHeight="1">
      <c r="A68" s="173" t="s">
        <v>75</v>
      </c>
      <c r="B68" s="171">
        <v>539.1</v>
      </c>
      <c r="C68" s="171"/>
      <c r="D68" s="163">
        <f t="shared" si="13"/>
        <v>0</v>
      </c>
      <c r="E68" s="172"/>
      <c r="F68" s="171"/>
      <c r="G68" s="159"/>
      <c r="H68" s="170"/>
      <c r="I68" s="159">
        <f t="shared" si="8"/>
        <v>0</v>
      </c>
      <c r="J68" s="128">
        <f t="shared" si="11"/>
        <v>0</v>
      </c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31"/>
      <c r="AB68" s="131"/>
      <c r="AC68" s="131"/>
      <c r="AD68" s="131"/>
      <c r="AE68" s="131"/>
      <c r="AF68" s="131"/>
      <c r="AG68" s="131"/>
      <c r="AH68" s="130"/>
      <c r="AI68" s="125"/>
    </row>
    <row r="69" spans="1:35" s="124" customFormat="1" ht="23.25" hidden="1" customHeight="1">
      <c r="A69" s="173" t="s">
        <v>74</v>
      </c>
      <c r="B69" s="171">
        <v>30.6</v>
      </c>
      <c r="C69" s="171"/>
      <c r="D69" s="163">
        <f t="shared" si="13"/>
        <v>0</v>
      </c>
      <c r="E69" s="172"/>
      <c r="F69" s="171"/>
      <c r="G69" s="159"/>
      <c r="H69" s="170"/>
      <c r="I69" s="159">
        <f t="shared" ref="I69:I90" si="14">G69-F69</f>
        <v>0</v>
      </c>
      <c r="J69" s="128">
        <f t="shared" si="11"/>
        <v>0</v>
      </c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31"/>
      <c r="AB69" s="131"/>
      <c r="AC69" s="131"/>
      <c r="AD69" s="131"/>
      <c r="AE69" s="131"/>
      <c r="AF69" s="131"/>
      <c r="AG69" s="131"/>
      <c r="AH69" s="130"/>
      <c r="AI69" s="125"/>
    </row>
    <row r="70" spans="1:35" s="124" customFormat="1" ht="66" customHeight="1">
      <c r="A70" s="164" t="s">
        <v>73</v>
      </c>
      <c r="B70" s="168">
        <v>1620.2</v>
      </c>
      <c r="C70" s="168"/>
      <c r="D70" s="163">
        <f t="shared" si="13"/>
        <v>3597.1</v>
      </c>
      <c r="E70" s="162"/>
      <c r="F70" s="168">
        <f>1152.9+583.2</f>
        <v>1736.1000000000001</v>
      </c>
      <c r="G70" s="159">
        <v>3597.1</v>
      </c>
      <c r="H70" s="151"/>
      <c r="I70" s="159">
        <f t="shared" si="14"/>
        <v>1860.9999999999998</v>
      </c>
      <c r="J70" s="128">
        <f t="shared" si="11"/>
        <v>222.01580051845451</v>
      </c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0"/>
      <c r="AI70" s="125"/>
    </row>
    <row r="71" spans="1:35" s="124" customFormat="1" ht="66" hidden="1" customHeight="1">
      <c r="A71" s="164" t="s">
        <v>72</v>
      </c>
      <c r="B71" s="168"/>
      <c r="C71" s="168">
        <v>114.9</v>
      </c>
      <c r="D71" s="163">
        <f t="shared" si="13"/>
        <v>0</v>
      </c>
      <c r="E71" s="162"/>
      <c r="F71" s="168"/>
      <c r="G71" s="162">
        <f>SUM(K71:AH71)</f>
        <v>0</v>
      </c>
      <c r="H71" s="167"/>
      <c r="I71" s="159">
        <f t="shared" si="14"/>
        <v>0</v>
      </c>
      <c r="J71" s="128" t="e">
        <f t="shared" si="11"/>
        <v>#DIV/0!</v>
      </c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0"/>
      <c r="AI71" s="125"/>
    </row>
    <row r="72" spans="1:35" s="155" customFormat="1" ht="66" hidden="1" customHeight="1">
      <c r="A72" s="166" t="s">
        <v>71</v>
      </c>
      <c r="B72" s="161"/>
      <c r="C72" s="161"/>
      <c r="D72" s="163">
        <f t="shared" si="13"/>
        <v>0</v>
      </c>
      <c r="E72" s="162"/>
      <c r="F72" s="161"/>
      <c r="G72" s="163">
        <f>SUM(K72:AH72)</f>
        <v>0</v>
      </c>
      <c r="H72" s="165"/>
      <c r="I72" s="159">
        <f t="shared" si="14"/>
        <v>0</v>
      </c>
      <c r="J72" s="128" t="e">
        <f t="shared" si="11"/>
        <v>#DIV/0!</v>
      </c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7"/>
      <c r="AI72" s="156"/>
    </row>
    <row r="73" spans="1:35" s="155" customFormat="1" ht="63.75" hidden="1" customHeight="1">
      <c r="A73" s="164" t="s">
        <v>70</v>
      </c>
      <c r="B73" s="161"/>
      <c r="C73" s="161"/>
      <c r="D73" s="163">
        <f t="shared" si="13"/>
        <v>0</v>
      </c>
      <c r="E73" s="162"/>
      <c r="F73" s="161"/>
      <c r="G73" s="163">
        <f>SUM(K73:AH73)</f>
        <v>0</v>
      </c>
      <c r="H73" s="165"/>
      <c r="I73" s="159">
        <f t="shared" si="14"/>
        <v>0</v>
      </c>
      <c r="J73" s="128" t="e">
        <f t="shared" si="11"/>
        <v>#DIV/0!</v>
      </c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7"/>
      <c r="AI73" s="156"/>
    </row>
    <row r="74" spans="1:35" s="155" customFormat="1" ht="75" customHeight="1">
      <c r="A74" s="164" t="s">
        <v>69</v>
      </c>
      <c r="B74" s="161">
        <v>37.700000000000003</v>
      </c>
      <c r="C74" s="161"/>
      <c r="D74" s="163">
        <f t="shared" si="13"/>
        <v>126.5</v>
      </c>
      <c r="E74" s="162"/>
      <c r="F74" s="161">
        <v>0</v>
      </c>
      <c r="G74" s="141">
        <f>37.7+88.8</f>
        <v>126.5</v>
      </c>
      <c r="H74" s="160"/>
      <c r="I74" s="159">
        <f t="shared" si="14"/>
        <v>126.5</v>
      </c>
      <c r="J74" s="128">
        <f t="shared" si="11"/>
        <v>335.54376657824929</v>
      </c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7"/>
      <c r="AI74" s="156"/>
    </row>
    <row r="75" spans="1:35" s="124" customFormat="1" ht="72" hidden="1" customHeight="1">
      <c r="A75" s="154" t="s">
        <v>68</v>
      </c>
      <c r="B75" s="118">
        <f>B6+B42</f>
        <v>3524644.6199999996</v>
      </c>
      <c r="C75" s="118">
        <f>C6+C42</f>
        <v>186783.7</v>
      </c>
      <c r="D75" s="118">
        <f>D42+D6</f>
        <v>2573272.7000000007</v>
      </c>
      <c r="E75" s="118">
        <f>E42+E6</f>
        <v>0</v>
      </c>
      <c r="F75" s="118">
        <f>F42+F6</f>
        <v>3038089.3</v>
      </c>
      <c r="G75" s="118">
        <f>G42+G6</f>
        <v>3188050.6</v>
      </c>
      <c r="H75" s="118" t="e">
        <f>H6+H42</f>
        <v>#REF!</v>
      </c>
      <c r="I75" s="118">
        <f t="shared" si="14"/>
        <v>149961.30000000028</v>
      </c>
      <c r="J75" s="117">
        <f t="shared" ref="J75:J90" si="15">G75*100/F75</f>
        <v>104.93603989849805</v>
      </c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6"/>
      <c r="AI75" s="125"/>
    </row>
    <row r="76" spans="1:35" s="1" customFormat="1" ht="55.5" hidden="1" customHeight="1">
      <c r="A76" s="153" t="s">
        <v>67</v>
      </c>
      <c r="B76" s="148">
        <f>B78+B79+B80+B83+B77</f>
        <v>3423876.2</v>
      </c>
      <c r="C76" s="148">
        <f>C80+C79+C78</f>
        <v>0</v>
      </c>
      <c r="D76" s="150">
        <f>D78+D79+D83+D80+D77</f>
        <v>0</v>
      </c>
      <c r="E76" s="150">
        <f>E78+E79+E80+E83+E77</f>
        <v>0</v>
      </c>
      <c r="F76" s="152"/>
      <c r="G76" s="150">
        <f>G78+G79+G80+G83+G77</f>
        <v>0</v>
      </c>
      <c r="H76" s="148"/>
      <c r="I76" s="118">
        <f t="shared" si="14"/>
        <v>0</v>
      </c>
      <c r="J76" s="117" t="e">
        <f t="shared" si="15"/>
        <v>#DIV/0!</v>
      </c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96"/>
      <c r="AI76" s="87"/>
    </row>
    <row r="77" spans="1:35" s="1" customFormat="1" ht="45" hidden="1" customHeight="1">
      <c r="A77" s="136" t="s">
        <v>51</v>
      </c>
      <c r="B77" s="151"/>
      <c r="C77" s="148"/>
      <c r="D77" s="141">
        <f t="shared" ref="D77:D85" si="16">E77+G77</f>
        <v>0</v>
      </c>
      <c r="E77" s="150"/>
      <c r="F77" s="149"/>
      <c r="G77" s="141">
        <f>SUM(K77:BJ77)</f>
        <v>0</v>
      </c>
      <c r="H77" s="148"/>
      <c r="I77" s="118">
        <f t="shared" si="14"/>
        <v>0</v>
      </c>
      <c r="J77" s="117" t="e">
        <f t="shared" si="15"/>
        <v>#DIV/0!</v>
      </c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96"/>
      <c r="AI77" s="87"/>
    </row>
    <row r="78" spans="1:35" s="1" customFormat="1" ht="45" hidden="1" customHeight="1">
      <c r="A78" s="136" t="s">
        <v>4</v>
      </c>
      <c r="B78" s="147">
        <v>708411.4</v>
      </c>
      <c r="C78" s="147"/>
      <c r="D78" s="141">
        <f t="shared" si="16"/>
        <v>0</v>
      </c>
      <c r="E78" s="141"/>
      <c r="F78" s="147"/>
      <c r="G78" s="141">
        <f t="shared" ref="G78:G83" si="17">SUM(K78:AH78)</f>
        <v>0</v>
      </c>
      <c r="H78" s="147"/>
      <c r="I78" s="118">
        <f t="shared" si="14"/>
        <v>0</v>
      </c>
      <c r="J78" s="117" t="e">
        <f t="shared" si="15"/>
        <v>#DIV/0!</v>
      </c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95"/>
      <c r="AI78" s="87"/>
    </row>
    <row r="79" spans="1:35" s="1" customFormat="1" ht="45" hidden="1" customHeight="1">
      <c r="A79" s="136" t="s">
        <v>3</v>
      </c>
      <c r="B79" s="147">
        <v>2738794.1</v>
      </c>
      <c r="C79" s="147"/>
      <c r="D79" s="141">
        <f t="shared" si="16"/>
        <v>0</v>
      </c>
      <c r="E79" s="141"/>
      <c r="F79" s="147"/>
      <c r="G79" s="141">
        <f t="shared" si="17"/>
        <v>0</v>
      </c>
      <c r="H79" s="141"/>
      <c r="I79" s="118">
        <f t="shared" si="14"/>
        <v>0</v>
      </c>
      <c r="J79" s="117" t="e">
        <f t="shared" si="15"/>
        <v>#DIV/0!</v>
      </c>
      <c r="K79" s="131"/>
      <c r="L79" s="131"/>
      <c r="M79" s="131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95"/>
      <c r="AI79" s="87"/>
    </row>
    <row r="80" spans="1:35" s="1" customFormat="1" ht="64.5" hidden="1" customHeight="1">
      <c r="A80" s="136" t="s">
        <v>20</v>
      </c>
      <c r="B80" s="147">
        <v>5075</v>
      </c>
      <c r="C80" s="147"/>
      <c r="D80" s="141">
        <f t="shared" si="16"/>
        <v>0</v>
      </c>
      <c r="E80" s="141"/>
      <c r="F80" s="147"/>
      <c r="G80" s="141">
        <f t="shared" si="17"/>
        <v>0</v>
      </c>
      <c r="H80" s="141"/>
      <c r="I80" s="118">
        <f t="shared" si="14"/>
        <v>0</v>
      </c>
      <c r="J80" s="117" t="e">
        <f t="shared" si="15"/>
        <v>#DIV/0!</v>
      </c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95"/>
      <c r="AI80" s="87"/>
    </row>
    <row r="81" spans="1:35" s="1" customFormat="1" ht="56.25" hidden="1" customHeight="1">
      <c r="A81" s="136" t="s">
        <v>66</v>
      </c>
      <c r="B81" s="146"/>
      <c r="C81" s="146"/>
      <c r="D81" s="141">
        <f t="shared" si="16"/>
        <v>0</v>
      </c>
      <c r="E81" s="133"/>
      <c r="F81" s="145"/>
      <c r="G81" s="141">
        <f t="shared" si="17"/>
        <v>0</v>
      </c>
      <c r="H81" s="133"/>
      <c r="I81" s="118">
        <f t="shared" si="14"/>
        <v>0</v>
      </c>
      <c r="J81" s="117" t="e">
        <f t="shared" si="15"/>
        <v>#DIV/0!</v>
      </c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  <c r="AG81" s="131"/>
      <c r="AH81" s="95"/>
      <c r="AI81" s="87"/>
    </row>
    <row r="82" spans="1:35" s="1" customFormat="1" ht="96.75" hidden="1" customHeight="1">
      <c r="A82" s="136" t="s">
        <v>65</v>
      </c>
      <c r="B82" s="135"/>
      <c r="C82" s="135"/>
      <c r="D82" s="141">
        <f t="shared" si="16"/>
        <v>0</v>
      </c>
      <c r="E82" s="132"/>
      <c r="F82" s="134"/>
      <c r="G82" s="141">
        <f t="shared" si="17"/>
        <v>0</v>
      </c>
      <c r="H82" s="132"/>
      <c r="I82" s="118">
        <f t="shared" si="14"/>
        <v>0</v>
      </c>
      <c r="J82" s="117" t="e">
        <f t="shared" si="15"/>
        <v>#DIV/0!</v>
      </c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95"/>
      <c r="AI82" s="87"/>
    </row>
    <row r="83" spans="1:35" s="1" customFormat="1" ht="54.75" hidden="1" customHeight="1">
      <c r="A83" s="144" t="s">
        <v>64</v>
      </c>
      <c r="B83" s="143">
        <v>-28404.3</v>
      </c>
      <c r="C83" s="143"/>
      <c r="D83" s="141">
        <f t="shared" si="16"/>
        <v>0</v>
      </c>
      <c r="E83" s="140"/>
      <c r="F83" s="142"/>
      <c r="G83" s="141">
        <f t="shared" si="17"/>
        <v>0</v>
      </c>
      <c r="H83" s="140"/>
      <c r="I83" s="118">
        <f t="shared" si="14"/>
        <v>0</v>
      </c>
      <c r="J83" s="117" t="e">
        <f t="shared" si="15"/>
        <v>#DIV/0!</v>
      </c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95"/>
      <c r="AI83" s="87"/>
    </row>
    <row r="84" spans="1:35" s="124" customFormat="1" ht="42.75" hidden="1" customHeight="1">
      <c r="A84" s="139" t="s">
        <v>63</v>
      </c>
      <c r="B84" s="134">
        <f>B85</f>
        <v>0</v>
      </c>
      <c r="C84" s="134"/>
      <c r="D84" s="138">
        <f t="shared" si="16"/>
        <v>0</v>
      </c>
      <c r="E84" s="128">
        <f>E85</f>
        <v>0</v>
      </c>
      <c r="F84" s="134"/>
      <c r="G84" s="138">
        <f>SUM(K84:BJ84)</f>
        <v>0</v>
      </c>
      <c r="H84" s="128"/>
      <c r="I84" s="118">
        <f t="shared" si="14"/>
        <v>0</v>
      </c>
      <c r="J84" s="117" t="e">
        <f t="shared" si="15"/>
        <v>#DIV/0!</v>
      </c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0"/>
      <c r="AI84" s="125"/>
    </row>
    <row r="85" spans="1:35" s="124" customFormat="1" ht="51.75" hidden="1" customHeight="1">
      <c r="A85" s="136" t="s">
        <v>62</v>
      </c>
      <c r="B85" s="135"/>
      <c r="C85" s="135"/>
      <c r="D85" s="133">
        <f t="shared" si="16"/>
        <v>0</v>
      </c>
      <c r="E85" s="132"/>
      <c r="F85" s="134"/>
      <c r="G85" s="133">
        <f>SUM(K85:BJ85)</f>
        <v>0</v>
      </c>
      <c r="H85" s="132"/>
      <c r="I85" s="118">
        <f t="shared" si="14"/>
        <v>0</v>
      </c>
      <c r="J85" s="117" t="e">
        <f t="shared" si="15"/>
        <v>#DIV/0!</v>
      </c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0"/>
      <c r="AI85" s="125"/>
    </row>
    <row r="86" spans="1:35" s="124" customFormat="1" ht="49.5" hidden="1" customHeight="1">
      <c r="A86" s="129" t="s">
        <v>61</v>
      </c>
      <c r="B86" s="128">
        <f>B75+B76+B84</f>
        <v>6948520.8200000003</v>
      </c>
      <c r="C86" s="128">
        <f>C75+C76+C81</f>
        <v>186783.7</v>
      </c>
      <c r="D86" s="128">
        <f>D75+D76+D84</f>
        <v>2573272.7000000007</v>
      </c>
      <c r="E86" s="128">
        <f>E75+E76+E84</f>
        <v>0</v>
      </c>
      <c r="F86" s="128">
        <f>F75+F76</f>
        <v>3038089.3</v>
      </c>
      <c r="G86" s="128">
        <f>G75+G76+G84</f>
        <v>3188050.6</v>
      </c>
      <c r="H86" s="128" t="e">
        <f>H75+H76+H81</f>
        <v>#REF!</v>
      </c>
      <c r="I86" s="118">
        <f t="shared" si="14"/>
        <v>149961.30000000028</v>
      </c>
      <c r="J86" s="117">
        <f t="shared" si="15"/>
        <v>104.93603989849805</v>
      </c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6"/>
      <c r="AI86" s="125"/>
    </row>
    <row r="87" spans="1:35" ht="107.25" hidden="1" customHeight="1">
      <c r="A87" s="123" t="s">
        <v>49</v>
      </c>
      <c r="B87" s="122">
        <v>3376566.6</v>
      </c>
      <c r="C87" s="122"/>
      <c r="D87" s="122"/>
      <c r="E87" s="122"/>
      <c r="F87" s="122"/>
      <c r="G87" s="122">
        <v>301242.2</v>
      </c>
      <c r="H87" s="122"/>
      <c r="I87" s="118">
        <f t="shared" si="14"/>
        <v>301242.2</v>
      </c>
      <c r="J87" s="117" t="e">
        <f t="shared" si="15"/>
        <v>#DIV/0!</v>
      </c>
      <c r="AH87" s="95"/>
    </row>
    <row r="88" spans="1:35" ht="126" hidden="1" customHeight="1">
      <c r="A88" s="121" t="s">
        <v>60</v>
      </c>
      <c r="B88" s="117">
        <f t="shared" ref="B88:G88" si="18">B75+B87</f>
        <v>6901211.2199999997</v>
      </c>
      <c r="C88" s="120">
        <f t="shared" si="18"/>
        <v>186783.7</v>
      </c>
      <c r="D88" s="120">
        <f t="shared" si="18"/>
        <v>2573272.7000000007</v>
      </c>
      <c r="E88" s="120">
        <f t="shared" si="18"/>
        <v>0</v>
      </c>
      <c r="F88" s="120">
        <f t="shared" si="18"/>
        <v>3038089.3</v>
      </c>
      <c r="G88" s="117">
        <f t="shared" si="18"/>
        <v>3489292.8000000003</v>
      </c>
      <c r="H88" s="119"/>
      <c r="I88" s="118">
        <f t="shared" si="14"/>
        <v>451203.50000000047</v>
      </c>
      <c r="J88" s="117">
        <f t="shared" si="15"/>
        <v>114.85155489010808</v>
      </c>
      <c r="AH88" s="95"/>
    </row>
    <row r="89" spans="1:35" ht="5.25" hidden="1" customHeight="1">
      <c r="A89" s="108"/>
      <c r="B89" s="105"/>
      <c r="C89" s="105"/>
      <c r="D89" s="107"/>
      <c r="E89" s="108"/>
      <c r="F89" s="101"/>
      <c r="G89" s="91"/>
      <c r="I89" s="118">
        <f t="shared" si="14"/>
        <v>0</v>
      </c>
      <c r="J89" s="117" t="e">
        <f t="shared" si="15"/>
        <v>#DIV/0!</v>
      </c>
      <c r="AH89" s="95"/>
    </row>
    <row r="90" spans="1:35" ht="34.5" hidden="1" customHeight="1">
      <c r="A90" s="108"/>
      <c r="B90" s="105"/>
      <c r="C90" s="105"/>
      <c r="D90" s="107"/>
      <c r="E90" s="104"/>
      <c r="G90" s="91"/>
      <c r="I90" s="118">
        <f t="shared" si="14"/>
        <v>0</v>
      </c>
      <c r="J90" s="117" t="e">
        <f t="shared" si="15"/>
        <v>#DIV/0!</v>
      </c>
      <c r="AH90" s="96"/>
    </row>
    <row r="91" spans="1:35" ht="32.25" customHeight="1">
      <c r="A91" s="108"/>
      <c r="B91" s="105"/>
      <c r="C91" s="105"/>
      <c r="D91" s="107"/>
      <c r="E91" s="104"/>
      <c r="G91" s="91"/>
      <c r="I91" s="101"/>
      <c r="K91" s="115"/>
      <c r="L91" s="115"/>
      <c r="M91" s="115"/>
      <c r="N91" s="114"/>
      <c r="O91" s="114"/>
      <c r="P91" s="114"/>
      <c r="Q91" s="114"/>
      <c r="AH91" s="106"/>
    </row>
    <row r="92" spans="1:35">
      <c r="A92" s="108"/>
      <c r="B92" s="116"/>
      <c r="C92" s="105"/>
      <c r="D92" s="112"/>
      <c r="E92" s="104"/>
      <c r="G92" s="91"/>
      <c r="I92" s="101"/>
      <c r="AH92" s="106"/>
    </row>
    <row r="93" spans="1:35">
      <c r="A93" s="108"/>
      <c r="B93" s="105"/>
      <c r="C93" s="105"/>
      <c r="D93" s="107"/>
      <c r="E93" s="104"/>
      <c r="G93" s="91"/>
      <c r="I93" s="101"/>
      <c r="J93" s="101"/>
      <c r="AH93" s="96"/>
    </row>
    <row r="94" spans="1:35">
      <c r="A94" s="108"/>
      <c r="B94" s="105"/>
      <c r="C94" s="105"/>
      <c r="D94" s="107"/>
      <c r="E94" s="104"/>
      <c r="G94" s="93"/>
      <c r="I94" s="101"/>
      <c r="J94" s="101"/>
      <c r="K94" s="113"/>
      <c r="AH94" s="106"/>
    </row>
    <row r="95" spans="1:35">
      <c r="A95" s="108"/>
      <c r="B95" s="116"/>
      <c r="C95" s="105"/>
      <c r="D95" s="107"/>
      <c r="E95" s="104"/>
      <c r="F95" s="101"/>
      <c r="G95" s="91"/>
      <c r="I95" s="101"/>
      <c r="K95" s="113"/>
      <c r="AH95" s="106"/>
    </row>
    <row r="96" spans="1:35">
      <c r="A96" s="108"/>
      <c r="B96" s="105"/>
      <c r="C96" s="105"/>
      <c r="D96" s="107"/>
      <c r="E96" s="104"/>
      <c r="G96" s="91"/>
      <c r="I96" s="101"/>
      <c r="K96" s="113"/>
      <c r="L96" s="115"/>
      <c r="M96" s="115"/>
      <c r="N96" s="114"/>
      <c r="O96" s="114"/>
      <c r="P96" s="114"/>
      <c r="Q96" s="114"/>
      <c r="AH96" s="106"/>
    </row>
    <row r="97" spans="1:34" customFormat="1">
      <c r="A97" s="108"/>
      <c r="B97" s="105"/>
      <c r="C97" s="105"/>
      <c r="D97" s="107"/>
      <c r="E97" s="104"/>
      <c r="F97" s="90"/>
      <c r="G97" s="91"/>
      <c r="H97" s="90"/>
      <c r="I97" s="101"/>
      <c r="J97" s="90"/>
      <c r="K97" s="113"/>
      <c r="L97" s="89"/>
      <c r="M97" s="89"/>
      <c r="N97" s="87"/>
      <c r="O97" s="87"/>
      <c r="P97" s="87"/>
      <c r="Q97" s="87"/>
      <c r="R97" s="87"/>
      <c r="S97" s="87"/>
      <c r="T97" s="87"/>
      <c r="U97" s="87"/>
      <c r="V97" s="87"/>
      <c r="W97" s="88"/>
      <c r="X97" s="88"/>
      <c r="Y97" s="88"/>
      <c r="Z97" s="88"/>
      <c r="AA97" s="88"/>
      <c r="AB97" s="87"/>
      <c r="AC97" s="87"/>
      <c r="AD97" s="87"/>
      <c r="AE97" s="87"/>
      <c r="AF97" s="87"/>
      <c r="AG97" s="87"/>
      <c r="AH97" s="96"/>
    </row>
    <row r="98" spans="1:34" customFormat="1" ht="45.75">
      <c r="A98" s="108"/>
      <c r="B98" s="105"/>
      <c r="C98" s="105"/>
      <c r="D98" s="112"/>
      <c r="E98" s="104"/>
      <c r="F98" s="90">
        <f>621233.4+674105.1+845896.9+468153.1+428700.8</f>
        <v>3038089.3</v>
      </c>
      <c r="G98" s="91"/>
      <c r="H98" s="90"/>
      <c r="I98" s="101"/>
      <c r="J98" s="101"/>
      <c r="K98" s="99"/>
      <c r="L98" s="99"/>
      <c r="M98" s="99"/>
      <c r="N98" s="98"/>
      <c r="O98" s="98"/>
      <c r="P98" s="98"/>
      <c r="Q98" s="98"/>
      <c r="R98" s="87"/>
      <c r="S98" s="87"/>
      <c r="T98" s="87"/>
      <c r="U98" s="87"/>
      <c r="V98" s="87"/>
      <c r="W98" s="88"/>
      <c r="X98" s="88"/>
      <c r="Y98" s="88"/>
      <c r="Z98" s="88"/>
      <c r="AA98" s="88"/>
      <c r="AB98" s="87"/>
      <c r="AC98" s="87"/>
      <c r="AD98" s="87"/>
      <c r="AE98" s="87"/>
      <c r="AF98" s="87"/>
      <c r="AG98" s="87"/>
      <c r="AH98" s="106"/>
    </row>
    <row r="99" spans="1:34" customFormat="1" ht="45.75">
      <c r="A99" s="111"/>
      <c r="B99" s="105"/>
      <c r="C99" s="105"/>
      <c r="D99" s="107"/>
      <c r="E99" s="104"/>
      <c r="F99" s="90"/>
      <c r="G99" s="91"/>
      <c r="H99" s="90"/>
      <c r="I99" s="90"/>
      <c r="J99" s="90"/>
      <c r="K99" s="110"/>
      <c r="L99" s="110"/>
      <c r="M99" s="110"/>
      <c r="N99" s="109"/>
      <c r="O99" s="109"/>
      <c r="P99" s="109"/>
      <c r="Q99" s="109"/>
      <c r="R99" s="87"/>
      <c r="S99" s="87"/>
      <c r="T99" s="87"/>
      <c r="U99" s="87"/>
      <c r="V99" s="87"/>
      <c r="W99" s="88"/>
      <c r="X99" s="88"/>
      <c r="Y99" s="88"/>
      <c r="Z99" s="88"/>
      <c r="AA99" s="88"/>
      <c r="AB99" s="87"/>
      <c r="AC99" s="87"/>
      <c r="AD99" s="87"/>
      <c r="AE99" s="87"/>
      <c r="AF99" s="87"/>
      <c r="AG99" s="87"/>
      <c r="AH99" s="106"/>
    </row>
    <row r="100" spans="1:34" customFormat="1" ht="45.75">
      <c r="A100" s="108"/>
      <c r="B100" s="105"/>
      <c r="C100" s="105"/>
      <c r="D100" s="107"/>
      <c r="E100" s="104"/>
      <c r="F100" s="90"/>
      <c r="G100" s="91"/>
      <c r="H100" s="90"/>
      <c r="I100" s="101"/>
      <c r="J100" s="90"/>
      <c r="K100" s="99"/>
      <c r="L100" s="99"/>
      <c r="M100" s="99"/>
      <c r="N100" s="98"/>
      <c r="O100" s="98"/>
      <c r="P100" s="98"/>
      <c r="Q100" s="98"/>
      <c r="R100" s="87"/>
      <c r="S100" s="87"/>
      <c r="T100" s="87"/>
      <c r="U100" s="87"/>
      <c r="V100" s="87"/>
      <c r="W100" s="88"/>
      <c r="X100" s="88"/>
      <c r="Y100" s="88"/>
      <c r="Z100" s="88"/>
      <c r="AA100" s="88"/>
      <c r="AB100" s="87"/>
      <c r="AC100" s="87"/>
      <c r="AD100" s="87"/>
      <c r="AE100" s="87"/>
      <c r="AF100" s="87"/>
      <c r="AG100" s="87"/>
      <c r="AH100" s="96"/>
    </row>
    <row r="101" spans="1:34" customFormat="1" ht="45.75">
      <c r="A101" s="108"/>
      <c r="B101" s="105"/>
      <c r="C101" s="105"/>
      <c r="D101" s="107"/>
      <c r="E101" s="104"/>
      <c r="F101" s="90"/>
      <c r="G101" s="91"/>
      <c r="H101" s="90"/>
      <c r="I101" s="101"/>
      <c r="J101" s="90"/>
      <c r="K101" s="99"/>
      <c r="L101" s="99"/>
      <c r="M101" s="99"/>
      <c r="N101" s="98"/>
      <c r="O101" s="98"/>
      <c r="P101" s="98"/>
      <c r="Q101" s="98"/>
      <c r="R101" s="87"/>
      <c r="S101" s="87"/>
      <c r="T101" s="87"/>
      <c r="U101" s="87"/>
      <c r="V101" s="87"/>
      <c r="W101" s="88"/>
      <c r="X101" s="88"/>
      <c r="Y101" s="88"/>
      <c r="Z101" s="88"/>
      <c r="AA101" s="88"/>
      <c r="AB101" s="87"/>
      <c r="AC101" s="87"/>
      <c r="AD101" s="87"/>
      <c r="AE101" s="87"/>
      <c r="AF101" s="87"/>
      <c r="AG101" s="87"/>
      <c r="AH101" s="106"/>
    </row>
    <row r="102" spans="1:34" customFormat="1" ht="45.75">
      <c r="A102" s="90"/>
      <c r="B102" s="105"/>
      <c r="C102" s="105"/>
      <c r="D102" s="97"/>
      <c r="E102" s="104"/>
      <c r="F102" s="90"/>
      <c r="G102" s="91"/>
      <c r="H102" s="90"/>
      <c r="I102" s="101"/>
      <c r="J102" s="90"/>
      <c r="K102" s="99"/>
      <c r="L102" s="99"/>
      <c r="M102" s="99"/>
      <c r="N102" s="98"/>
      <c r="O102" s="98"/>
      <c r="P102" s="98"/>
      <c r="Q102" s="98"/>
      <c r="R102" s="87"/>
      <c r="S102" s="87"/>
      <c r="T102" s="87"/>
      <c r="U102" s="87"/>
      <c r="V102" s="87"/>
      <c r="W102" s="88"/>
      <c r="X102" s="88"/>
      <c r="Y102" s="88"/>
      <c r="Z102" s="88"/>
      <c r="AA102" s="88"/>
      <c r="AB102" s="87"/>
      <c r="AC102" s="87"/>
      <c r="AD102" s="87"/>
      <c r="AE102" s="87"/>
      <c r="AF102" s="87"/>
      <c r="AG102" s="87"/>
      <c r="AH102" s="106"/>
    </row>
    <row r="103" spans="1:34" customFormat="1" ht="45.75">
      <c r="A103" s="90"/>
      <c r="B103" s="105"/>
      <c r="C103" s="105"/>
      <c r="D103" s="97"/>
      <c r="E103" s="104"/>
      <c r="F103" s="101">
        <f>F98-F5</f>
        <v>0</v>
      </c>
      <c r="G103" s="91"/>
      <c r="H103" s="90"/>
      <c r="I103" s="101"/>
      <c r="J103" s="101"/>
      <c r="K103" s="99"/>
      <c r="L103" s="99"/>
      <c r="M103" s="99"/>
      <c r="N103" s="98"/>
      <c r="O103" s="98"/>
      <c r="P103" s="98"/>
      <c r="Q103" s="98"/>
      <c r="R103" s="87"/>
      <c r="S103" s="87"/>
      <c r="T103" s="87"/>
      <c r="U103" s="87"/>
      <c r="V103" s="87"/>
      <c r="W103" s="88"/>
      <c r="X103" s="88"/>
      <c r="Y103" s="88"/>
      <c r="Z103" s="88"/>
      <c r="AA103" s="88"/>
      <c r="AB103" s="87"/>
      <c r="AC103" s="87"/>
      <c r="AD103" s="87"/>
      <c r="AE103" s="87"/>
      <c r="AF103" s="87"/>
      <c r="AG103" s="87"/>
      <c r="AH103" s="106"/>
    </row>
    <row r="104" spans="1:34" customFormat="1" ht="45.75">
      <c r="A104" s="90"/>
      <c r="B104" s="105"/>
      <c r="C104" s="105"/>
      <c r="D104" s="97"/>
      <c r="E104" s="104"/>
      <c r="F104" s="90"/>
      <c r="G104" s="91"/>
      <c r="H104" s="90"/>
      <c r="I104" s="101"/>
      <c r="J104" s="90"/>
      <c r="K104" s="99"/>
      <c r="L104" s="99"/>
      <c r="M104" s="99"/>
      <c r="N104" s="98"/>
      <c r="O104" s="98"/>
      <c r="P104" s="98"/>
      <c r="Q104" s="98"/>
      <c r="R104" s="87"/>
      <c r="S104" s="87"/>
      <c r="T104" s="87"/>
      <c r="U104" s="87"/>
      <c r="V104" s="87"/>
      <c r="W104" s="88"/>
      <c r="X104" s="88"/>
      <c r="Y104" s="88"/>
      <c r="Z104" s="88"/>
      <c r="AA104" s="88"/>
      <c r="AB104" s="87"/>
      <c r="AC104" s="87"/>
      <c r="AD104" s="87"/>
      <c r="AE104" s="87"/>
      <c r="AF104" s="87"/>
      <c r="AG104" s="87"/>
      <c r="AH104" s="94"/>
    </row>
    <row r="105" spans="1:34" customFormat="1" ht="45.75">
      <c r="A105" s="90"/>
      <c r="B105" s="105"/>
      <c r="C105" s="105"/>
      <c r="D105" s="97"/>
      <c r="E105" s="104"/>
      <c r="F105" s="90"/>
      <c r="G105" s="91"/>
      <c r="H105" s="90"/>
      <c r="I105" s="101"/>
      <c r="J105" s="90"/>
      <c r="K105" s="99"/>
      <c r="L105" s="99"/>
      <c r="M105" s="99"/>
      <c r="N105" s="98"/>
      <c r="O105" s="98"/>
      <c r="P105" s="98"/>
      <c r="Q105" s="98"/>
      <c r="R105" s="87"/>
      <c r="S105" s="87"/>
      <c r="T105" s="87"/>
      <c r="U105" s="87"/>
      <c r="V105" s="87"/>
      <c r="W105" s="88"/>
      <c r="X105" s="88"/>
      <c r="Y105" s="88"/>
      <c r="Z105" s="88"/>
      <c r="AA105" s="88"/>
      <c r="AB105" s="87"/>
      <c r="AC105" s="87"/>
      <c r="AD105" s="87"/>
      <c r="AE105" s="87"/>
      <c r="AF105" s="87"/>
      <c r="AG105" s="87"/>
      <c r="AH105" s="96"/>
    </row>
    <row r="106" spans="1:34" customFormat="1" ht="90">
      <c r="A106" s="90"/>
      <c r="B106" s="105"/>
      <c r="C106" s="105"/>
      <c r="D106" s="97"/>
      <c r="E106" s="104"/>
      <c r="F106" s="90"/>
      <c r="G106" s="103"/>
      <c r="H106" s="90"/>
      <c r="I106" s="101"/>
      <c r="J106" s="90"/>
      <c r="K106" s="99"/>
      <c r="L106" s="99"/>
      <c r="M106" s="99"/>
      <c r="N106" s="98"/>
      <c r="O106" s="98"/>
      <c r="P106" s="98"/>
      <c r="Q106" s="98"/>
      <c r="R106" s="87"/>
      <c r="S106" s="87"/>
      <c r="T106" s="87"/>
      <c r="U106" s="87"/>
      <c r="V106" s="87"/>
      <c r="W106" s="88"/>
      <c r="X106" s="88"/>
      <c r="Y106" s="88"/>
      <c r="Z106" s="88"/>
      <c r="AA106" s="88"/>
      <c r="AB106" s="87"/>
      <c r="AC106" s="87"/>
      <c r="AD106" s="87"/>
      <c r="AE106" s="87"/>
      <c r="AF106" s="87"/>
      <c r="AG106" s="87"/>
      <c r="AH106" s="95"/>
    </row>
    <row r="107" spans="1:34" customFormat="1" ht="45.75">
      <c r="A107" s="90"/>
      <c r="B107" s="102"/>
      <c r="C107" s="102"/>
      <c r="D107" s="92"/>
      <c r="E107" s="97"/>
      <c r="F107" s="92"/>
      <c r="G107" s="91"/>
      <c r="H107" s="92"/>
      <c r="I107" s="90"/>
      <c r="J107" s="90"/>
      <c r="K107" s="99"/>
      <c r="L107" s="99"/>
      <c r="M107" s="99"/>
      <c r="N107" s="98"/>
      <c r="O107" s="98"/>
      <c r="P107" s="98"/>
      <c r="Q107" s="98"/>
      <c r="R107" s="87"/>
      <c r="S107" s="87"/>
      <c r="T107" s="87"/>
      <c r="U107" s="87"/>
      <c r="V107" s="87"/>
      <c r="W107" s="88"/>
      <c r="X107" s="88"/>
      <c r="Y107" s="88"/>
      <c r="Z107" s="88"/>
      <c r="AA107" s="88"/>
      <c r="AB107" s="87"/>
      <c r="AC107" s="87"/>
      <c r="AD107" s="87"/>
      <c r="AE107" s="87"/>
      <c r="AF107" s="87"/>
      <c r="AG107" s="87"/>
      <c r="AH107" s="95"/>
    </row>
    <row r="108" spans="1:34" customFormat="1" ht="45.75">
      <c r="A108" s="90"/>
      <c r="B108" s="100"/>
      <c r="C108" s="100"/>
      <c r="D108" s="97"/>
      <c r="E108" s="97"/>
      <c r="F108" s="92"/>
      <c r="G108" s="91"/>
      <c r="H108" s="92"/>
      <c r="I108" s="101"/>
      <c r="J108" s="90"/>
      <c r="K108" s="99"/>
      <c r="L108" s="99"/>
      <c r="M108" s="99"/>
      <c r="N108" s="98"/>
      <c r="O108" s="98"/>
      <c r="P108" s="98"/>
      <c r="Q108" s="98"/>
      <c r="R108" s="87"/>
      <c r="S108" s="87"/>
      <c r="T108" s="87"/>
      <c r="U108" s="87"/>
      <c r="V108" s="87"/>
      <c r="W108" s="88"/>
      <c r="X108" s="88"/>
      <c r="Y108" s="88"/>
      <c r="Z108" s="88"/>
      <c r="AA108" s="88"/>
      <c r="AB108" s="87"/>
      <c r="AC108" s="87"/>
      <c r="AD108" s="87"/>
      <c r="AE108" s="87"/>
      <c r="AF108" s="87"/>
      <c r="AG108" s="87"/>
      <c r="AH108" s="95"/>
    </row>
    <row r="109" spans="1:34" customFormat="1" ht="45.75">
      <c r="A109" s="90"/>
      <c r="B109" s="100"/>
      <c r="C109" s="100"/>
      <c r="D109" s="97"/>
      <c r="E109" s="97"/>
      <c r="F109" s="92"/>
      <c r="G109" s="91"/>
      <c r="H109" s="92"/>
      <c r="I109" s="92"/>
      <c r="J109" s="90"/>
      <c r="K109" s="99"/>
      <c r="L109" s="99"/>
      <c r="M109" s="99"/>
      <c r="N109" s="98"/>
      <c r="O109" s="98"/>
      <c r="P109" s="98"/>
      <c r="Q109" s="98"/>
      <c r="R109" s="87"/>
      <c r="S109" s="87"/>
      <c r="T109" s="87"/>
      <c r="U109" s="87"/>
      <c r="V109" s="87"/>
      <c r="W109" s="88"/>
      <c r="X109" s="88"/>
      <c r="Y109" s="88"/>
      <c r="Z109" s="88"/>
      <c r="AA109" s="88"/>
      <c r="AB109" s="87"/>
      <c r="AC109" s="87"/>
      <c r="AD109" s="87"/>
      <c r="AE109" s="87"/>
      <c r="AF109" s="87"/>
      <c r="AG109" s="87"/>
      <c r="AH109" s="95"/>
    </row>
    <row r="110" spans="1:34" customFormat="1" ht="45.75">
      <c r="A110" s="90"/>
      <c r="B110" s="100"/>
      <c r="C110" s="100"/>
      <c r="D110" s="97"/>
      <c r="E110" s="97"/>
      <c r="F110" s="92"/>
      <c r="G110" s="91"/>
      <c r="H110" s="92"/>
      <c r="I110" s="92"/>
      <c r="J110" s="90"/>
      <c r="K110" s="99"/>
      <c r="L110" s="99"/>
      <c r="M110" s="99"/>
      <c r="N110" s="98"/>
      <c r="O110" s="98"/>
      <c r="P110" s="98"/>
      <c r="Q110" s="98"/>
      <c r="R110" s="87"/>
      <c r="S110" s="87"/>
      <c r="T110" s="87"/>
      <c r="U110" s="87"/>
      <c r="V110" s="87"/>
      <c r="W110" s="88"/>
      <c r="X110" s="88"/>
      <c r="Y110" s="88"/>
      <c r="Z110" s="88"/>
      <c r="AA110" s="88"/>
      <c r="AB110" s="87"/>
      <c r="AC110" s="87"/>
      <c r="AD110" s="87"/>
      <c r="AE110" s="87"/>
      <c r="AF110" s="87"/>
      <c r="AG110" s="87"/>
      <c r="AH110" s="95"/>
    </row>
    <row r="111" spans="1:34" customFormat="1" ht="45.75">
      <c r="A111" s="90"/>
      <c r="B111" s="100"/>
      <c r="C111" s="100"/>
      <c r="D111" s="97"/>
      <c r="E111" s="97"/>
      <c r="F111" s="92"/>
      <c r="G111" s="91"/>
      <c r="H111" s="92"/>
      <c r="I111" s="92"/>
      <c r="J111" s="90"/>
      <c r="K111" s="99"/>
      <c r="L111" s="99"/>
      <c r="M111" s="99"/>
      <c r="N111" s="98"/>
      <c r="O111" s="98"/>
      <c r="P111" s="98"/>
      <c r="Q111" s="98"/>
      <c r="R111" s="87"/>
      <c r="S111" s="87"/>
      <c r="T111" s="87"/>
      <c r="U111" s="87"/>
      <c r="V111" s="87"/>
      <c r="W111" s="88"/>
      <c r="X111" s="88"/>
      <c r="Y111" s="88"/>
      <c r="Z111" s="88"/>
      <c r="AA111" s="88"/>
      <c r="AB111" s="87"/>
      <c r="AC111" s="87"/>
      <c r="AD111" s="87"/>
      <c r="AE111" s="87"/>
      <c r="AF111" s="87"/>
      <c r="AG111" s="87"/>
      <c r="AH111" s="95"/>
    </row>
    <row r="112" spans="1:34" customFormat="1" ht="45.75">
      <c r="A112" s="90"/>
      <c r="B112" s="100"/>
      <c r="C112" s="100"/>
      <c r="D112" s="97"/>
      <c r="E112" s="97"/>
      <c r="F112" s="92"/>
      <c r="G112" s="91"/>
      <c r="H112" s="92"/>
      <c r="I112" s="92"/>
      <c r="J112" s="90"/>
      <c r="K112" s="99"/>
      <c r="L112" s="99"/>
      <c r="M112" s="99"/>
      <c r="N112" s="98"/>
      <c r="O112" s="98"/>
      <c r="P112" s="98"/>
      <c r="Q112" s="98"/>
      <c r="R112" s="87"/>
      <c r="S112" s="87"/>
      <c r="T112" s="87"/>
      <c r="U112" s="87"/>
      <c r="V112" s="87"/>
      <c r="W112" s="88"/>
      <c r="X112" s="88"/>
      <c r="Y112" s="88"/>
      <c r="Z112" s="88"/>
      <c r="AA112" s="88"/>
      <c r="AB112" s="87"/>
      <c r="AC112" s="87"/>
      <c r="AD112" s="87"/>
      <c r="AE112" s="87"/>
      <c r="AF112" s="87"/>
      <c r="AG112" s="87"/>
      <c r="AH112" s="95"/>
    </row>
    <row r="113" spans="2:34" customFormat="1" ht="45.75">
      <c r="B113" s="97"/>
      <c r="C113" s="97"/>
      <c r="D113" s="97"/>
      <c r="E113" s="97"/>
      <c r="F113" s="92"/>
      <c r="G113" s="92"/>
      <c r="H113" s="92"/>
      <c r="I113" s="92"/>
      <c r="J113" s="90"/>
      <c r="K113" s="99"/>
      <c r="L113" s="99"/>
      <c r="M113" s="99"/>
      <c r="N113" s="98"/>
      <c r="O113" s="98"/>
      <c r="P113" s="98"/>
      <c r="Q113" s="98"/>
      <c r="R113" s="87"/>
      <c r="S113" s="87"/>
      <c r="T113" s="87"/>
      <c r="U113" s="87"/>
      <c r="V113" s="87"/>
      <c r="W113" s="88"/>
      <c r="X113" s="88"/>
      <c r="Y113" s="88"/>
      <c r="Z113" s="88"/>
      <c r="AA113" s="88"/>
      <c r="AB113" s="87"/>
      <c r="AC113" s="87"/>
      <c r="AD113" s="87"/>
      <c r="AE113" s="87"/>
      <c r="AF113" s="87"/>
      <c r="AG113" s="87"/>
      <c r="AH113" s="95"/>
    </row>
    <row r="114" spans="2:34" customFormat="1" ht="45.75">
      <c r="B114" s="97"/>
      <c r="C114" s="97"/>
      <c r="D114" s="97"/>
      <c r="E114" s="92"/>
      <c r="F114" s="92"/>
      <c r="G114" s="92"/>
      <c r="H114" s="92"/>
      <c r="I114" s="92"/>
      <c r="J114" s="90"/>
      <c r="K114" s="99"/>
      <c r="L114" s="99"/>
      <c r="M114" s="99"/>
      <c r="N114" s="98"/>
      <c r="O114" s="98"/>
      <c r="P114" s="98"/>
      <c r="Q114" s="98"/>
      <c r="R114" s="87"/>
      <c r="S114" s="87"/>
      <c r="T114" s="87"/>
      <c r="U114" s="87"/>
      <c r="V114" s="87"/>
      <c r="W114" s="88"/>
      <c r="X114" s="88"/>
      <c r="Y114" s="88"/>
      <c r="Z114" s="88"/>
      <c r="AA114" s="88"/>
      <c r="AB114" s="87"/>
      <c r="AC114" s="87"/>
      <c r="AD114" s="87"/>
      <c r="AE114" s="87"/>
      <c r="AF114" s="87"/>
      <c r="AG114" s="87"/>
      <c r="AH114" s="95"/>
    </row>
    <row r="115" spans="2:34" customFormat="1" ht="45.75">
      <c r="B115" s="97"/>
      <c r="C115" s="97"/>
      <c r="D115" s="97"/>
      <c r="E115" s="97"/>
      <c r="F115" s="92"/>
      <c r="G115" s="92"/>
      <c r="H115" s="92"/>
      <c r="I115" s="92"/>
      <c r="J115" s="90"/>
      <c r="K115" s="99"/>
      <c r="L115" s="99"/>
      <c r="M115" s="99"/>
      <c r="N115" s="98"/>
      <c r="O115" s="98"/>
      <c r="P115" s="98"/>
      <c r="Q115" s="98"/>
      <c r="R115" s="87"/>
      <c r="S115" s="87"/>
      <c r="T115" s="87"/>
      <c r="U115" s="87"/>
      <c r="V115" s="87"/>
      <c r="W115" s="88"/>
      <c r="X115" s="88"/>
      <c r="Y115" s="88"/>
      <c r="Z115" s="88"/>
      <c r="AA115" s="88"/>
      <c r="AB115" s="87"/>
      <c r="AC115" s="87"/>
      <c r="AD115" s="87"/>
      <c r="AE115" s="87"/>
      <c r="AF115" s="87"/>
      <c r="AG115" s="87"/>
      <c r="AH115" s="95"/>
    </row>
    <row r="116" spans="2:34" customFormat="1">
      <c r="B116" s="92"/>
      <c r="C116" s="92"/>
      <c r="D116" s="92"/>
      <c r="E116" s="97"/>
      <c r="F116" s="92"/>
      <c r="G116" s="92"/>
      <c r="H116" s="92"/>
      <c r="I116" s="92"/>
      <c r="J116" s="90"/>
      <c r="K116" s="89"/>
      <c r="L116" s="89"/>
      <c r="M116" s="89"/>
      <c r="N116" s="87"/>
      <c r="O116" s="87"/>
      <c r="P116" s="87"/>
      <c r="Q116" s="87"/>
      <c r="R116" s="87"/>
      <c r="S116" s="87"/>
      <c r="T116" s="87"/>
      <c r="U116" s="87"/>
      <c r="V116" s="87"/>
      <c r="W116" s="88"/>
      <c r="X116" s="88"/>
      <c r="Y116" s="88"/>
      <c r="Z116" s="88"/>
      <c r="AA116" s="88"/>
      <c r="AB116" s="87"/>
      <c r="AC116" s="87"/>
      <c r="AD116" s="87"/>
      <c r="AE116" s="87"/>
      <c r="AF116" s="87"/>
      <c r="AG116" s="87"/>
      <c r="AH116" s="95"/>
    </row>
    <row r="117" spans="2:34" customFormat="1">
      <c r="B117" s="92"/>
      <c r="C117" s="92"/>
      <c r="D117" s="92"/>
      <c r="E117" s="97"/>
      <c r="F117" s="92"/>
      <c r="G117" s="92"/>
      <c r="H117" s="92"/>
      <c r="I117" s="92"/>
      <c r="J117" s="90"/>
      <c r="K117" s="89"/>
      <c r="L117" s="89"/>
      <c r="M117" s="89"/>
      <c r="N117" s="87"/>
      <c r="O117" s="87"/>
      <c r="P117" s="87"/>
      <c r="Q117" s="87"/>
      <c r="R117" s="87"/>
      <c r="S117" s="87"/>
      <c r="T117" s="87"/>
      <c r="U117" s="87"/>
      <c r="V117" s="87"/>
      <c r="W117" s="88"/>
      <c r="X117" s="88"/>
      <c r="Y117" s="88"/>
      <c r="Z117" s="88"/>
      <c r="AA117" s="88"/>
      <c r="AB117" s="87"/>
      <c r="AC117" s="87"/>
      <c r="AD117" s="87"/>
      <c r="AE117" s="87"/>
      <c r="AF117" s="87"/>
      <c r="AG117" s="87"/>
      <c r="AH117" s="94"/>
    </row>
    <row r="118" spans="2:34" customFormat="1">
      <c r="B118" s="92"/>
      <c r="C118" s="92"/>
      <c r="D118" s="92"/>
      <c r="E118" s="97"/>
      <c r="F118" s="92"/>
      <c r="G118" s="92"/>
      <c r="H118" s="92"/>
      <c r="I118" s="92"/>
      <c r="J118" s="90"/>
      <c r="K118" s="89"/>
      <c r="L118" s="89"/>
      <c r="M118" s="89"/>
      <c r="N118" s="87"/>
      <c r="O118" s="87"/>
      <c r="P118" s="87"/>
      <c r="Q118" s="87"/>
      <c r="R118" s="87"/>
      <c r="S118" s="87"/>
      <c r="T118" s="87"/>
      <c r="U118" s="87"/>
      <c r="V118" s="87"/>
      <c r="W118" s="88"/>
      <c r="X118" s="88"/>
      <c r="Y118" s="88"/>
      <c r="Z118" s="88"/>
      <c r="AA118" s="88"/>
      <c r="AB118" s="87"/>
      <c r="AC118" s="87"/>
      <c r="AD118" s="87"/>
      <c r="AE118" s="87"/>
      <c r="AF118" s="87"/>
      <c r="AG118" s="87"/>
      <c r="AH118" s="96"/>
    </row>
    <row r="119" spans="2:34" customFormat="1">
      <c r="B119" s="92"/>
      <c r="C119" s="92"/>
      <c r="D119" s="92"/>
      <c r="E119" s="92"/>
      <c r="F119" s="92"/>
      <c r="G119" s="92"/>
      <c r="H119" s="92"/>
      <c r="I119" s="92"/>
      <c r="J119" s="90"/>
      <c r="K119" s="89"/>
      <c r="L119" s="89"/>
      <c r="M119" s="89"/>
      <c r="N119" s="87"/>
      <c r="O119" s="87"/>
      <c r="P119" s="87"/>
      <c r="Q119" s="87"/>
      <c r="R119" s="87"/>
      <c r="S119" s="87"/>
      <c r="T119" s="87"/>
      <c r="U119" s="87"/>
      <c r="V119" s="87"/>
      <c r="W119" s="88"/>
      <c r="X119" s="88"/>
      <c r="Y119" s="88"/>
      <c r="Z119" s="88"/>
      <c r="AA119" s="88"/>
      <c r="AB119" s="87"/>
      <c r="AC119" s="87"/>
      <c r="AD119" s="87"/>
      <c r="AE119" s="87"/>
      <c r="AF119" s="87"/>
      <c r="AG119" s="87"/>
      <c r="AH119" s="96"/>
    </row>
    <row r="120" spans="2:34" customFormat="1">
      <c r="B120" s="92"/>
      <c r="C120" s="92"/>
      <c r="D120" s="92"/>
      <c r="E120" s="92"/>
      <c r="F120" s="92"/>
      <c r="G120" s="93"/>
      <c r="H120" s="92"/>
      <c r="I120" s="92"/>
      <c r="J120" s="90"/>
      <c r="K120" s="89"/>
      <c r="L120" s="89"/>
      <c r="M120" s="89"/>
      <c r="N120" s="87"/>
      <c r="O120" s="87"/>
      <c r="P120" s="87"/>
      <c r="Q120" s="87"/>
      <c r="R120" s="87"/>
      <c r="S120" s="87"/>
      <c r="T120" s="87"/>
      <c r="U120" s="87"/>
      <c r="V120" s="87"/>
      <c r="W120" s="88"/>
      <c r="X120" s="88"/>
      <c r="Y120" s="88"/>
      <c r="Z120" s="88"/>
      <c r="AA120" s="88"/>
      <c r="AB120" s="87"/>
      <c r="AC120" s="87"/>
      <c r="AD120" s="87"/>
      <c r="AE120" s="87"/>
      <c r="AF120" s="87"/>
      <c r="AG120" s="87"/>
      <c r="AH120" s="96"/>
    </row>
    <row r="121" spans="2:34" customFormat="1">
      <c r="B121" s="92"/>
      <c r="C121" s="92"/>
      <c r="D121" s="92"/>
      <c r="E121" s="92"/>
      <c r="F121" s="92"/>
      <c r="G121" s="93"/>
      <c r="H121" s="92"/>
      <c r="I121" s="92"/>
      <c r="J121" s="90"/>
      <c r="K121" s="89"/>
      <c r="L121" s="89"/>
      <c r="M121" s="89"/>
      <c r="N121" s="87"/>
      <c r="O121" s="87"/>
      <c r="P121" s="87"/>
      <c r="Q121" s="87"/>
      <c r="R121" s="87"/>
      <c r="S121" s="87"/>
      <c r="T121" s="87"/>
      <c r="U121" s="87"/>
      <c r="V121" s="87"/>
      <c r="W121" s="88"/>
      <c r="X121" s="88"/>
      <c r="Y121" s="88"/>
      <c r="Z121" s="88"/>
      <c r="AA121" s="88"/>
      <c r="AB121" s="87"/>
      <c r="AC121" s="87"/>
      <c r="AD121" s="87"/>
      <c r="AE121" s="87"/>
      <c r="AF121" s="87"/>
      <c r="AG121" s="87"/>
      <c r="AH121" s="95"/>
    </row>
    <row r="122" spans="2:34" customFormat="1">
      <c r="B122" s="92"/>
      <c r="C122" s="92"/>
      <c r="D122" s="92"/>
      <c r="E122" s="92"/>
      <c r="F122" s="92"/>
      <c r="G122" s="93"/>
      <c r="H122" s="92"/>
      <c r="I122" s="92"/>
      <c r="J122" s="90"/>
      <c r="K122" s="89"/>
      <c r="L122" s="89"/>
      <c r="M122" s="89"/>
      <c r="N122" s="87"/>
      <c r="O122" s="87"/>
      <c r="P122" s="87"/>
      <c r="Q122" s="87"/>
      <c r="R122" s="87"/>
      <c r="S122" s="87"/>
      <c r="T122" s="87"/>
      <c r="U122" s="87"/>
      <c r="V122" s="87"/>
      <c r="W122" s="88"/>
      <c r="X122" s="88"/>
      <c r="Y122" s="88"/>
      <c r="Z122" s="88"/>
      <c r="AA122" s="88"/>
      <c r="AB122" s="87"/>
      <c r="AC122" s="87"/>
      <c r="AD122" s="87"/>
      <c r="AE122" s="87"/>
      <c r="AF122" s="87"/>
      <c r="AG122" s="87"/>
      <c r="AH122" s="95"/>
    </row>
    <row r="123" spans="2:34" customFormat="1">
      <c r="B123" s="92"/>
      <c r="C123" s="92"/>
      <c r="D123" s="92"/>
      <c r="E123" s="92"/>
      <c r="F123" s="92"/>
      <c r="G123" s="93"/>
      <c r="H123" s="92"/>
      <c r="I123" s="92"/>
      <c r="J123" s="90"/>
      <c r="K123" s="89"/>
      <c r="L123" s="89"/>
      <c r="M123" s="89"/>
      <c r="N123" s="87"/>
      <c r="O123" s="87"/>
      <c r="P123" s="87"/>
      <c r="Q123" s="87"/>
      <c r="R123" s="87"/>
      <c r="S123" s="87"/>
      <c r="T123" s="87"/>
      <c r="U123" s="87"/>
      <c r="V123" s="87"/>
      <c r="W123" s="88"/>
      <c r="X123" s="88"/>
      <c r="Y123" s="88"/>
      <c r="Z123" s="88"/>
      <c r="AA123" s="88"/>
      <c r="AB123" s="87"/>
      <c r="AC123" s="87"/>
      <c r="AD123" s="87"/>
      <c r="AE123" s="87"/>
      <c r="AF123" s="87"/>
      <c r="AG123" s="87"/>
      <c r="AH123" s="94"/>
    </row>
    <row r="124" spans="2:34" customFormat="1">
      <c r="B124" s="92"/>
      <c r="C124" s="92"/>
      <c r="D124" s="92"/>
      <c r="E124" s="92"/>
      <c r="F124" s="92"/>
      <c r="G124" s="93"/>
      <c r="H124" s="92"/>
      <c r="I124" s="92">
        <v>1</v>
      </c>
      <c r="J124" s="90"/>
      <c r="K124" s="89"/>
      <c r="L124" s="89"/>
      <c r="M124" s="89"/>
      <c r="N124" s="87"/>
      <c r="O124" s="87"/>
      <c r="P124" s="87"/>
      <c r="Q124" s="87"/>
      <c r="R124" s="87"/>
      <c r="S124" s="87"/>
      <c r="T124" s="87"/>
      <c r="U124" s="87"/>
      <c r="V124" s="87"/>
      <c r="W124" s="88"/>
      <c r="X124" s="88"/>
      <c r="Y124" s="88"/>
      <c r="Z124" s="88"/>
      <c r="AA124" s="88"/>
      <c r="AB124" s="87"/>
      <c r="AC124" s="87"/>
      <c r="AD124" s="87"/>
      <c r="AE124" s="87"/>
      <c r="AF124" s="87"/>
      <c r="AG124" s="87"/>
      <c r="AH124" s="87"/>
    </row>
    <row r="125" spans="2:34" customFormat="1">
      <c r="B125" s="92"/>
      <c r="C125" s="92"/>
      <c r="D125" s="92"/>
      <c r="E125" s="92"/>
      <c r="F125" s="92"/>
      <c r="G125" s="93"/>
      <c r="H125" s="92"/>
      <c r="I125" s="92"/>
      <c r="J125" s="90"/>
      <c r="K125" s="89"/>
      <c r="L125" s="89"/>
      <c r="M125" s="89"/>
      <c r="N125" s="87"/>
      <c r="O125" s="87"/>
      <c r="P125" s="87"/>
      <c r="Q125" s="87"/>
      <c r="R125" s="87"/>
      <c r="S125" s="87"/>
      <c r="T125" s="87"/>
      <c r="U125" s="87"/>
      <c r="V125" s="87"/>
      <c r="W125" s="88"/>
      <c r="X125" s="88"/>
      <c r="Y125" s="88"/>
      <c r="Z125" s="88"/>
      <c r="AA125" s="88"/>
      <c r="AB125" s="87"/>
      <c r="AC125" s="87"/>
      <c r="AD125" s="87"/>
      <c r="AE125" s="87"/>
      <c r="AF125" s="87"/>
      <c r="AG125" s="87"/>
      <c r="AH125" s="87"/>
    </row>
    <row r="126" spans="2:34" customFormat="1">
      <c r="B126" s="92"/>
      <c r="C126" s="92"/>
      <c r="D126" s="92"/>
      <c r="E126" s="92"/>
      <c r="F126" s="92"/>
      <c r="G126" s="93"/>
      <c r="H126" s="92"/>
      <c r="I126" s="92"/>
      <c r="J126" s="90"/>
      <c r="K126" s="89"/>
      <c r="L126" s="89"/>
      <c r="M126" s="89"/>
      <c r="N126" s="87"/>
      <c r="O126" s="87"/>
      <c r="P126" s="87"/>
      <c r="Q126" s="87"/>
      <c r="R126" s="87"/>
      <c r="S126" s="87"/>
      <c r="T126" s="87"/>
      <c r="U126" s="87"/>
      <c r="V126" s="87"/>
      <c r="W126" s="88"/>
      <c r="X126" s="88"/>
      <c r="Y126" s="88"/>
      <c r="Z126" s="88"/>
      <c r="AA126" s="88"/>
      <c r="AB126" s="87"/>
      <c r="AC126" s="87"/>
      <c r="AD126" s="87"/>
      <c r="AE126" s="87"/>
      <c r="AF126" s="87"/>
      <c r="AG126" s="87"/>
      <c r="AH126" s="87"/>
    </row>
    <row r="127" spans="2:34" customFormat="1">
      <c r="B127" s="92"/>
      <c r="C127" s="92"/>
      <c r="D127" s="92"/>
      <c r="E127" s="92"/>
      <c r="F127" s="92"/>
      <c r="G127" s="93"/>
      <c r="H127" s="92"/>
      <c r="I127" s="92"/>
      <c r="J127" s="90"/>
      <c r="K127" s="89"/>
      <c r="L127" s="89"/>
      <c r="M127" s="89"/>
      <c r="N127" s="87"/>
      <c r="O127" s="87"/>
      <c r="P127" s="87"/>
      <c r="Q127" s="87"/>
      <c r="R127" s="87"/>
      <c r="S127" s="87"/>
      <c r="T127" s="87"/>
      <c r="U127" s="87"/>
      <c r="V127" s="87"/>
      <c r="W127" s="88"/>
      <c r="X127" s="88"/>
      <c r="Y127" s="88"/>
      <c r="Z127" s="88"/>
      <c r="AA127" s="88"/>
      <c r="AB127" s="87"/>
      <c r="AC127" s="87"/>
      <c r="AD127" s="87"/>
      <c r="AE127" s="87"/>
      <c r="AF127" s="87"/>
      <c r="AG127" s="87"/>
      <c r="AH127" s="87"/>
    </row>
    <row r="128" spans="2:34" customFormat="1">
      <c r="B128" s="92"/>
      <c r="C128" s="92"/>
      <c r="D128" s="92"/>
      <c r="E128" s="92"/>
      <c r="F128" s="92"/>
      <c r="G128" s="93"/>
      <c r="H128" s="92"/>
      <c r="I128" s="92"/>
      <c r="J128" s="90"/>
      <c r="K128" s="89"/>
      <c r="L128" s="89"/>
      <c r="M128" s="89"/>
      <c r="N128" s="87"/>
      <c r="O128" s="87"/>
      <c r="P128" s="87"/>
      <c r="Q128" s="87"/>
      <c r="R128" s="87"/>
      <c r="S128" s="87"/>
      <c r="T128" s="87"/>
      <c r="U128" s="87"/>
      <c r="V128" s="87"/>
      <c r="W128" s="88"/>
      <c r="X128" s="88"/>
      <c r="Y128" s="88"/>
      <c r="Z128" s="88"/>
      <c r="AA128" s="88"/>
      <c r="AB128" s="87"/>
      <c r="AC128" s="87"/>
      <c r="AD128" s="87"/>
      <c r="AE128" s="87"/>
      <c r="AF128" s="87"/>
      <c r="AG128" s="87"/>
      <c r="AH128" s="87"/>
    </row>
    <row r="129" spans="2:10" customFormat="1" ht="40.5">
      <c r="B129" s="92"/>
      <c r="C129" s="92"/>
      <c r="D129" s="92"/>
      <c r="E129" s="92"/>
      <c r="F129" s="92"/>
      <c r="G129" s="93">
        <v>1</v>
      </c>
      <c r="H129" s="92"/>
      <c r="I129" s="92"/>
      <c r="J129" s="90"/>
    </row>
    <row r="130" spans="2:10" customFormat="1" ht="40.5">
      <c r="B130" s="92"/>
      <c r="C130" s="92"/>
      <c r="D130" s="92"/>
      <c r="E130" s="92"/>
      <c r="F130" s="92"/>
      <c r="G130" s="93">
        <v>2</v>
      </c>
      <c r="H130" s="92"/>
      <c r="I130" s="92"/>
      <c r="J130" s="90"/>
    </row>
    <row r="131" spans="2:10" customFormat="1" ht="40.5">
      <c r="B131" s="92"/>
      <c r="C131" s="92"/>
      <c r="D131" s="92"/>
      <c r="E131" s="92"/>
      <c r="F131" s="92"/>
      <c r="G131" s="93"/>
      <c r="H131" s="92"/>
      <c r="I131" s="92"/>
      <c r="J131" s="90"/>
    </row>
    <row r="132" spans="2:10" customFormat="1" ht="40.5">
      <c r="B132" s="92"/>
      <c r="C132" s="92"/>
      <c r="D132" s="92"/>
      <c r="E132" s="92"/>
      <c r="F132" s="92"/>
      <c r="G132" s="93"/>
      <c r="H132" s="92"/>
      <c r="I132" s="92"/>
      <c r="J132" s="90"/>
    </row>
    <row r="133" spans="2:10" customFormat="1" ht="40.5">
      <c r="B133" s="92"/>
      <c r="C133" s="92"/>
      <c r="D133" s="92"/>
      <c r="E133" s="92"/>
      <c r="F133" s="92"/>
      <c r="G133" s="93"/>
      <c r="H133" s="92"/>
      <c r="I133" s="92"/>
      <c r="J133" s="90">
        <v>1</v>
      </c>
    </row>
    <row r="134" spans="2:10" customFormat="1" ht="40.5">
      <c r="B134" s="92"/>
      <c r="C134" s="92"/>
      <c r="D134" s="92"/>
      <c r="E134" s="92"/>
      <c r="F134" s="92"/>
      <c r="G134" s="93"/>
      <c r="H134" s="92"/>
      <c r="I134" s="92"/>
      <c r="J134" s="90"/>
    </row>
    <row r="135" spans="2:10" customFormat="1" ht="40.5">
      <c r="B135" s="92"/>
      <c r="C135" s="92"/>
      <c r="D135" s="92"/>
      <c r="E135" s="92"/>
      <c r="F135" s="92"/>
      <c r="G135" s="93"/>
      <c r="H135" s="92"/>
      <c r="I135" s="92"/>
      <c r="J135" s="90"/>
    </row>
    <row r="136" spans="2:10" customFormat="1" ht="40.5">
      <c r="B136" s="92"/>
      <c r="C136" s="92"/>
      <c r="D136" s="92"/>
      <c r="E136" s="92"/>
      <c r="F136" s="92"/>
      <c r="G136" s="93"/>
      <c r="H136" s="92"/>
      <c r="I136" s="92"/>
      <c r="J136" s="90"/>
    </row>
    <row r="137" spans="2:10" customFormat="1" ht="40.5">
      <c r="B137" s="92"/>
      <c r="C137" s="92"/>
      <c r="D137" s="92"/>
      <c r="E137" s="92"/>
      <c r="F137" s="92"/>
      <c r="G137" s="93"/>
      <c r="H137" s="92"/>
      <c r="I137" s="92"/>
      <c r="J137" s="90"/>
    </row>
    <row r="138" spans="2:10" customFormat="1" ht="40.5">
      <c r="B138" s="92"/>
      <c r="C138" s="92"/>
      <c r="D138" s="92"/>
      <c r="E138" s="92"/>
      <c r="F138" s="92"/>
      <c r="G138" s="93"/>
      <c r="H138" s="92"/>
      <c r="I138" s="92"/>
      <c r="J138" s="90"/>
    </row>
    <row r="139" spans="2:10" customFormat="1" ht="40.5">
      <c r="B139" s="92"/>
      <c r="C139" s="92"/>
      <c r="D139" s="92"/>
      <c r="E139" s="92"/>
      <c r="F139" s="92"/>
      <c r="G139" s="93"/>
      <c r="H139" s="92"/>
      <c r="I139" s="92"/>
      <c r="J139" s="90"/>
    </row>
    <row r="140" spans="2:10" customFormat="1" ht="40.5">
      <c r="B140" s="92"/>
      <c r="C140" s="92"/>
      <c r="D140" s="92"/>
      <c r="E140" s="92"/>
      <c r="F140" s="92"/>
      <c r="G140" s="93"/>
      <c r="H140" s="92"/>
      <c r="I140" s="92"/>
      <c r="J140" s="90"/>
    </row>
    <row r="141" spans="2:10" customFormat="1" ht="40.5">
      <c r="B141" s="92"/>
      <c r="C141" s="92"/>
      <c r="D141" s="92"/>
      <c r="E141" s="92"/>
      <c r="F141" s="92"/>
      <c r="G141" s="93"/>
      <c r="H141" s="92"/>
      <c r="I141" s="92"/>
      <c r="J141" s="90"/>
    </row>
    <row r="142" spans="2:10" customFormat="1" ht="40.5">
      <c r="B142" s="92"/>
      <c r="C142" s="92"/>
      <c r="D142" s="92"/>
      <c r="E142" s="92"/>
      <c r="F142" s="92"/>
      <c r="G142" s="93"/>
      <c r="H142" s="92"/>
      <c r="I142" s="92"/>
      <c r="J142" s="90"/>
    </row>
    <row r="143" spans="2:10" customFormat="1" ht="40.5">
      <c r="B143" s="92"/>
      <c r="C143" s="92"/>
      <c r="D143" s="92"/>
      <c r="E143" s="92"/>
      <c r="F143" s="92"/>
      <c r="G143" s="93"/>
      <c r="H143" s="92"/>
      <c r="I143" s="92"/>
      <c r="J143" s="90"/>
    </row>
    <row r="144" spans="2:10" customFormat="1" ht="40.5">
      <c r="B144" s="92"/>
      <c r="C144" s="92"/>
      <c r="D144" s="92"/>
      <c r="E144" s="92"/>
      <c r="F144" s="92"/>
      <c r="G144" s="93"/>
      <c r="H144" s="92"/>
      <c r="I144" s="92"/>
      <c r="J144" s="90"/>
    </row>
    <row r="145" spans="2:9" customFormat="1" ht="40.5">
      <c r="B145" s="92"/>
      <c r="C145" s="92"/>
      <c r="D145" s="92"/>
      <c r="E145" s="92"/>
      <c r="F145" s="92"/>
      <c r="G145" s="93"/>
      <c r="H145" s="92"/>
      <c r="I145" s="92"/>
    </row>
    <row r="146" spans="2:9" customFormat="1" ht="40.5">
      <c r="B146" s="92"/>
      <c r="C146" s="92"/>
      <c r="D146" s="92"/>
      <c r="E146" s="92"/>
      <c r="F146" s="92"/>
      <c r="G146" s="93"/>
      <c r="H146" s="92"/>
      <c r="I146" s="92"/>
    </row>
    <row r="147" spans="2:9" customFormat="1" ht="40.5">
      <c r="B147" s="90"/>
      <c r="C147" s="90"/>
      <c r="D147" s="90"/>
      <c r="E147" s="90"/>
      <c r="F147" s="90"/>
      <c r="G147" s="91"/>
      <c r="H147" s="90"/>
      <c r="I147" s="90"/>
    </row>
    <row r="148" spans="2:9" customFormat="1" ht="40.5">
      <c r="B148" s="90"/>
      <c r="C148" s="90"/>
      <c r="D148" s="90"/>
      <c r="E148" s="90"/>
      <c r="F148" s="90"/>
      <c r="G148" s="91"/>
      <c r="H148" s="90"/>
      <c r="I148" s="90"/>
    </row>
    <row r="149" spans="2:9" customFormat="1" ht="40.5">
      <c r="B149" s="90"/>
      <c r="C149" s="90"/>
      <c r="D149" s="90"/>
      <c r="E149" s="90"/>
      <c r="F149" s="90"/>
      <c r="G149" s="91"/>
      <c r="H149" s="90"/>
      <c r="I149" s="90"/>
    </row>
    <row r="150" spans="2:9" customFormat="1" ht="40.5">
      <c r="B150" s="90"/>
      <c r="C150" s="90"/>
      <c r="D150" s="90"/>
      <c r="E150" s="90"/>
      <c r="F150" s="90"/>
      <c r="G150" s="91"/>
      <c r="H150" s="90"/>
      <c r="I150" s="90"/>
    </row>
    <row r="151" spans="2:9" customFormat="1" ht="40.5">
      <c r="B151" s="90"/>
      <c r="C151" s="90"/>
      <c r="D151" s="90"/>
      <c r="E151" s="90"/>
      <c r="F151" s="90"/>
      <c r="G151" s="91"/>
      <c r="H151" s="90"/>
      <c r="I151" s="90"/>
    </row>
    <row r="152" spans="2:9" customFormat="1" ht="40.5">
      <c r="B152" s="90"/>
      <c r="C152" s="90"/>
      <c r="D152" s="90"/>
      <c r="E152" s="90"/>
      <c r="F152" s="90"/>
      <c r="G152" s="91"/>
      <c r="H152" s="90"/>
      <c r="I152" s="90"/>
    </row>
    <row r="153" spans="2:9" customFormat="1" ht="40.5">
      <c r="B153" s="90"/>
      <c r="C153" s="90"/>
      <c r="D153" s="90"/>
      <c r="E153" s="90"/>
      <c r="F153" s="90"/>
      <c r="G153" s="91"/>
      <c r="H153" s="90"/>
      <c r="I153" s="90"/>
    </row>
    <row r="154" spans="2:9" customFormat="1" ht="40.5">
      <c r="B154" s="90"/>
      <c r="C154" s="90"/>
      <c r="D154" s="90"/>
      <c r="E154" s="90"/>
      <c r="F154" s="90"/>
      <c r="G154" s="91"/>
      <c r="H154" s="90"/>
      <c r="I154" s="90"/>
    </row>
    <row r="155" spans="2:9" customFormat="1" ht="40.5">
      <c r="B155" s="90"/>
      <c r="C155" s="90"/>
      <c r="D155" s="90"/>
      <c r="E155" s="90"/>
      <c r="F155" s="90"/>
      <c r="G155" s="91"/>
      <c r="H155" s="90"/>
      <c r="I155" s="90"/>
    </row>
    <row r="156" spans="2:9" customFormat="1" ht="40.5">
      <c r="B156" s="90"/>
      <c r="C156" s="90"/>
      <c r="D156" s="90"/>
      <c r="E156" s="90"/>
      <c r="F156" s="90"/>
      <c r="G156" s="91"/>
      <c r="H156" s="90"/>
      <c r="I156" s="90"/>
    </row>
    <row r="157" spans="2:9" customFormat="1" ht="40.5">
      <c r="B157" s="90"/>
      <c r="C157" s="90"/>
      <c r="D157" s="90"/>
      <c r="E157" s="90"/>
      <c r="F157" s="90"/>
      <c r="G157" s="91"/>
      <c r="H157" s="90"/>
      <c r="I157" s="90"/>
    </row>
    <row r="158" spans="2:9" customFormat="1" ht="40.5">
      <c r="B158" s="90"/>
      <c r="C158" s="90"/>
      <c r="D158" s="90"/>
      <c r="E158" s="90"/>
      <c r="F158" s="90"/>
      <c r="G158" s="91"/>
      <c r="H158" s="90"/>
      <c r="I158" s="90"/>
    </row>
    <row r="159" spans="2:9" customFormat="1" ht="40.5">
      <c r="B159" s="90"/>
      <c r="C159" s="90"/>
      <c r="D159" s="90"/>
      <c r="E159" s="90"/>
      <c r="F159" s="90"/>
      <c r="G159" s="91"/>
      <c r="H159" s="90"/>
      <c r="I159" s="90"/>
    </row>
    <row r="160" spans="2:9" customFormat="1" ht="40.5">
      <c r="B160" s="90"/>
      <c r="C160" s="90"/>
      <c r="D160" s="90"/>
      <c r="E160" s="90"/>
      <c r="F160" s="90"/>
      <c r="G160" s="91"/>
      <c r="H160" s="90"/>
      <c r="I160" s="90"/>
    </row>
    <row r="161" spans="7:7" customFormat="1" ht="40.5">
      <c r="G161" s="91"/>
    </row>
    <row r="162" spans="7:7" customFormat="1" ht="40.5">
      <c r="G162" s="91"/>
    </row>
    <row r="163" spans="7:7" customFormat="1" ht="40.5">
      <c r="G163" s="91"/>
    </row>
    <row r="164" spans="7:7" customFormat="1" ht="40.5">
      <c r="G164" s="91"/>
    </row>
    <row r="165" spans="7:7" customFormat="1" ht="40.5">
      <c r="G165" s="91"/>
    </row>
    <row r="166" spans="7:7" customFormat="1" ht="40.5">
      <c r="G166" s="91"/>
    </row>
    <row r="167" spans="7:7" customFormat="1" ht="40.5">
      <c r="G167" s="91"/>
    </row>
    <row r="168" spans="7:7" customFormat="1" ht="40.5">
      <c r="G168" s="91"/>
    </row>
    <row r="169" spans="7:7" customFormat="1" ht="40.5">
      <c r="G169" s="91"/>
    </row>
    <row r="170" spans="7:7" customFormat="1" ht="40.5">
      <c r="G170" s="91"/>
    </row>
    <row r="171" spans="7:7" customFormat="1" ht="40.5">
      <c r="G171" s="91"/>
    </row>
    <row r="172" spans="7:7" customFormat="1" ht="40.5">
      <c r="G172" s="91"/>
    </row>
    <row r="173" spans="7:7" customFormat="1" ht="40.5">
      <c r="G173" s="91"/>
    </row>
    <row r="174" spans="7:7" customFormat="1" ht="40.5">
      <c r="G174" s="91"/>
    </row>
    <row r="175" spans="7:7" customFormat="1" ht="40.5">
      <c r="G175" s="91"/>
    </row>
    <row r="176" spans="7:7" customFormat="1" ht="40.5">
      <c r="G176" s="91"/>
    </row>
    <row r="177" spans="7:7" customFormat="1" ht="40.5">
      <c r="G177" s="91"/>
    </row>
    <row r="178" spans="7:7" customFormat="1" ht="40.5">
      <c r="G178" s="91"/>
    </row>
    <row r="179" spans="7:7" customFormat="1" ht="40.5">
      <c r="G179" s="91"/>
    </row>
    <row r="180" spans="7:7" customFormat="1" ht="40.5">
      <c r="G180" s="91"/>
    </row>
    <row r="181" spans="7:7" customFormat="1" ht="40.5">
      <c r="G181" s="91"/>
    </row>
    <row r="182" spans="7:7" customFormat="1" ht="40.5">
      <c r="G182" s="91"/>
    </row>
    <row r="183" spans="7:7" customFormat="1" ht="40.5">
      <c r="G183" s="91"/>
    </row>
    <row r="184" spans="7:7" customFormat="1" ht="40.5">
      <c r="G184" s="91"/>
    </row>
    <row r="185" spans="7:7" customFormat="1" ht="40.5">
      <c r="G185" s="91"/>
    </row>
    <row r="186" spans="7:7" customFormat="1" ht="40.5">
      <c r="G186" s="91"/>
    </row>
    <row r="187" spans="7:7" customFormat="1" ht="40.5">
      <c r="G187" s="91"/>
    </row>
    <row r="188" spans="7:7" customFormat="1" ht="40.5">
      <c r="G188" s="91"/>
    </row>
    <row r="189" spans="7:7" customFormat="1" ht="40.5">
      <c r="G189" s="91"/>
    </row>
    <row r="190" spans="7:7" customFormat="1" ht="40.5">
      <c r="G190" s="91"/>
    </row>
    <row r="191" spans="7:7" customFormat="1" ht="40.5">
      <c r="G191" s="91"/>
    </row>
    <row r="192" spans="7:7" customFormat="1" ht="40.5">
      <c r="G192" s="91"/>
    </row>
    <row r="193" spans="7:7" customFormat="1" ht="40.5">
      <c r="G193" s="91"/>
    </row>
    <row r="194" spans="7:7" customFormat="1" ht="40.5">
      <c r="G194" s="91"/>
    </row>
    <row r="195" spans="7:7" customFormat="1" ht="40.5">
      <c r="G195" s="91"/>
    </row>
    <row r="196" spans="7:7" customFormat="1" ht="40.5">
      <c r="G196" s="91"/>
    </row>
    <row r="197" spans="7:7" customFormat="1" ht="40.5">
      <c r="G197" s="91"/>
    </row>
    <row r="198" spans="7:7" customFormat="1" ht="40.5">
      <c r="G198" s="91"/>
    </row>
    <row r="199" spans="7:7" customFormat="1" ht="40.5">
      <c r="G199" s="91"/>
    </row>
    <row r="200" spans="7:7" customFormat="1" ht="40.5">
      <c r="G200" s="91"/>
    </row>
    <row r="201" spans="7:7" customFormat="1" ht="40.5">
      <c r="G201" s="91"/>
    </row>
    <row r="202" spans="7:7" customFormat="1" ht="40.5">
      <c r="G202" s="91"/>
    </row>
    <row r="203" spans="7:7" customFormat="1" ht="40.5">
      <c r="G203" s="91"/>
    </row>
    <row r="204" spans="7:7" customFormat="1" ht="40.5">
      <c r="G204" s="91"/>
    </row>
    <row r="205" spans="7:7" customFormat="1" ht="40.5">
      <c r="G205" s="91"/>
    </row>
    <row r="206" spans="7:7" customFormat="1" ht="40.5">
      <c r="G206" s="91"/>
    </row>
    <row r="207" spans="7:7" customFormat="1" ht="40.5">
      <c r="G207" s="91"/>
    </row>
    <row r="208" spans="7:7" customFormat="1" ht="40.5">
      <c r="G208" s="91"/>
    </row>
    <row r="209" spans="7:7" customFormat="1" ht="40.5">
      <c r="G209" s="91"/>
    </row>
    <row r="210" spans="7:7" customFormat="1" ht="40.5">
      <c r="G210" s="91"/>
    </row>
    <row r="211" spans="7:7" customFormat="1" ht="40.5">
      <c r="G211" s="91"/>
    </row>
    <row r="212" spans="7:7" customFormat="1" ht="40.5">
      <c r="G212" s="91"/>
    </row>
    <row r="213" spans="7:7" customFormat="1" ht="40.5">
      <c r="G213" s="91"/>
    </row>
    <row r="214" spans="7:7" customFormat="1" ht="40.5">
      <c r="G214" s="91"/>
    </row>
    <row r="215" spans="7:7" customFormat="1" ht="40.5">
      <c r="G215" s="91"/>
    </row>
    <row r="216" spans="7:7" customFormat="1" ht="40.5">
      <c r="G216" s="91"/>
    </row>
    <row r="217" spans="7:7" customFormat="1" ht="40.5">
      <c r="G217" s="91"/>
    </row>
    <row r="218" spans="7:7" customFormat="1" ht="40.5">
      <c r="G218" s="91"/>
    </row>
    <row r="219" spans="7:7" customFormat="1" ht="40.5">
      <c r="G219" s="91"/>
    </row>
    <row r="220" spans="7:7" customFormat="1" ht="40.5">
      <c r="G220" s="91"/>
    </row>
    <row r="221" spans="7:7" customFormat="1" ht="40.5">
      <c r="G221" s="91"/>
    </row>
    <row r="222" spans="7:7" customFormat="1" ht="40.5">
      <c r="G222" s="91"/>
    </row>
    <row r="223" spans="7:7" customFormat="1" ht="40.5">
      <c r="G223" s="91"/>
    </row>
    <row r="224" spans="7:7" customFormat="1" ht="40.5">
      <c r="G224" s="91"/>
    </row>
    <row r="225" spans="7:7" customFormat="1" ht="40.5">
      <c r="G225" s="91"/>
    </row>
    <row r="226" spans="7:7" customFormat="1" ht="40.5">
      <c r="G226" s="91"/>
    </row>
    <row r="227" spans="7:7" customFormat="1" ht="40.5">
      <c r="G227" s="91"/>
    </row>
    <row r="228" spans="7:7" customFormat="1" ht="40.5">
      <c r="G228" s="91"/>
    </row>
    <row r="229" spans="7:7" customFormat="1" ht="40.5">
      <c r="G229" s="91"/>
    </row>
    <row r="230" spans="7:7" customFormat="1" ht="40.5">
      <c r="G230" s="91"/>
    </row>
    <row r="231" spans="7:7" customFormat="1" ht="40.5">
      <c r="G231" s="91"/>
    </row>
    <row r="232" spans="7:7" customFormat="1" ht="40.5">
      <c r="G232" s="91"/>
    </row>
    <row r="233" spans="7:7" customFormat="1" ht="40.5">
      <c r="G233" s="91"/>
    </row>
    <row r="234" spans="7:7" customFormat="1" ht="40.5">
      <c r="G234" s="91"/>
    </row>
    <row r="235" spans="7:7" customFormat="1" ht="40.5">
      <c r="G235" s="91"/>
    </row>
    <row r="236" spans="7:7" customFormat="1" ht="40.5">
      <c r="G236" s="91"/>
    </row>
    <row r="237" spans="7:7" customFormat="1" ht="40.5">
      <c r="G237" s="91"/>
    </row>
    <row r="238" spans="7:7" customFormat="1" ht="40.5">
      <c r="G238" s="91"/>
    </row>
    <row r="239" spans="7:7" customFormat="1" ht="40.5">
      <c r="G239" s="91"/>
    </row>
    <row r="240" spans="7:7" customFormat="1" ht="40.5">
      <c r="G240" s="91"/>
    </row>
    <row r="241" spans="7:7" customFormat="1" ht="40.5">
      <c r="G241" s="91"/>
    </row>
    <row r="242" spans="7:7" customFormat="1" ht="40.5">
      <c r="G242" s="91"/>
    </row>
    <row r="243" spans="7:7" customFormat="1" ht="40.5">
      <c r="G243" s="91"/>
    </row>
    <row r="244" spans="7:7" customFormat="1" ht="40.5">
      <c r="G244" s="91"/>
    </row>
    <row r="245" spans="7:7" customFormat="1" ht="40.5">
      <c r="G245" s="91"/>
    </row>
    <row r="246" spans="7:7" customFormat="1" ht="40.5">
      <c r="G246" s="91"/>
    </row>
    <row r="247" spans="7:7" customFormat="1" ht="40.5">
      <c r="G247" s="91"/>
    </row>
    <row r="248" spans="7:7" customFormat="1" ht="40.5">
      <c r="G248" s="91"/>
    </row>
    <row r="249" spans="7:7" customFormat="1" ht="40.5">
      <c r="G249" s="91"/>
    </row>
    <row r="250" spans="7:7" customFormat="1" ht="40.5">
      <c r="G250" s="91"/>
    </row>
    <row r="251" spans="7:7" customFormat="1" ht="40.5">
      <c r="G251" s="91"/>
    </row>
  </sheetData>
  <mergeCells count="1">
    <mergeCell ref="A1:J1"/>
  </mergeCells>
  <pageMargins left="0.82677165354330717" right="0.19685039370078741" top="0.51181102362204722" bottom="0.15748031496062992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A159"/>
  <sheetViews>
    <sheetView tabSelected="1" topLeftCell="A55" zoomScaleSheetLayoutView="90" workbookViewId="0">
      <selection activeCell="A71" sqref="A71:XFD71"/>
    </sheetView>
  </sheetViews>
  <sheetFormatPr defaultRowHeight="12.75"/>
  <cols>
    <col min="1" max="1" width="87.85546875" style="17" customWidth="1"/>
    <col min="2" max="2" width="23.7109375" style="18" customWidth="1"/>
    <col min="3" max="3" width="24.42578125" style="12" customWidth="1"/>
    <col min="4" max="4" width="22.7109375" style="12" customWidth="1"/>
    <col min="5" max="5" width="18.5703125" style="4" hidden="1" customWidth="1"/>
    <col min="6" max="6" width="21.5703125" style="4" hidden="1" customWidth="1"/>
    <col min="7" max="7" width="13.5703125" style="4" hidden="1" customWidth="1"/>
    <col min="8" max="9" width="9.28515625" style="4" hidden="1" customWidth="1"/>
    <col min="10" max="10" width="9.140625" style="4" hidden="1" customWidth="1"/>
    <col min="11" max="11" width="14.85546875" style="4" hidden="1" customWidth="1"/>
    <col min="12" max="12" width="13.5703125" style="4" hidden="1" customWidth="1"/>
    <col min="13" max="13" width="11" style="4" hidden="1" customWidth="1"/>
    <col min="14" max="22" width="9.140625" style="4" hidden="1" customWidth="1"/>
    <col min="23" max="23" width="9.7109375" style="4" bestFit="1" customWidth="1"/>
    <col min="24" max="35" width="9.140625" style="4" customWidth="1"/>
    <col min="36" max="16384" width="9.140625" style="4"/>
  </cols>
  <sheetData>
    <row r="1" spans="1:27" ht="18.75" customHeight="1">
      <c r="A1" s="213" t="s">
        <v>56</v>
      </c>
      <c r="B1" s="213"/>
      <c r="C1" s="213"/>
      <c r="D1" s="213"/>
    </row>
    <row r="2" spans="1:27" ht="12.75" customHeight="1">
      <c r="A2" s="24"/>
      <c r="B2" s="25"/>
      <c r="C2" s="25"/>
      <c r="D2" s="9" t="s">
        <v>40</v>
      </c>
    </row>
    <row r="3" spans="1:27" ht="42" customHeight="1">
      <c r="A3" s="26" t="s">
        <v>0</v>
      </c>
      <c r="B3" s="27" t="s">
        <v>52</v>
      </c>
      <c r="C3" s="27" t="s">
        <v>57</v>
      </c>
      <c r="D3" s="27" t="s">
        <v>1</v>
      </c>
      <c r="L3" s="14"/>
    </row>
    <row r="4" spans="1:27" ht="25.5" customHeight="1">
      <c r="A4" s="28" t="s">
        <v>2</v>
      </c>
      <c r="B4" s="65">
        <f>11221250.8-B5</f>
        <v>3524644.6000000006</v>
      </c>
      <c r="C4" s="65">
        <f>10995961.8-C5</f>
        <v>3188050.6000000015</v>
      </c>
      <c r="D4" s="29">
        <f t="shared" ref="D4:D14" si="0">C4/B4*100</f>
        <v>90.450271213160079</v>
      </c>
      <c r="H4" s="12"/>
      <c r="I4" s="12"/>
    </row>
    <row r="5" spans="1:27" ht="26.25" customHeight="1">
      <c r="A5" s="28" t="s">
        <v>49</v>
      </c>
      <c r="B5" s="65">
        <f>SUM(B6:B12)</f>
        <v>7696606.2000000002</v>
      </c>
      <c r="C5" s="65">
        <f>SUM(C6:C12)</f>
        <v>7807911.1999999993</v>
      </c>
      <c r="D5" s="29">
        <f>C5/B5*100</f>
        <v>101.44615687885914</v>
      </c>
      <c r="H5" s="12"/>
      <c r="I5" s="12"/>
    </row>
    <row r="6" spans="1:27" ht="21" customHeight="1">
      <c r="A6" s="31" t="s">
        <v>3</v>
      </c>
      <c r="B6" s="32">
        <v>4812765.9000000004</v>
      </c>
      <c r="C6" s="32">
        <v>4810553.0999999996</v>
      </c>
      <c r="D6" s="30">
        <f t="shared" si="0"/>
        <v>99.954022280618275</v>
      </c>
      <c r="E6" s="1"/>
      <c r="H6" s="12"/>
      <c r="I6" s="12"/>
      <c r="AA6" s="73"/>
    </row>
    <row r="7" spans="1:27" ht="21.75" customHeight="1">
      <c r="A7" s="31" t="s">
        <v>4</v>
      </c>
      <c r="B7" s="32">
        <v>2208408</v>
      </c>
      <c r="C7" s="32">
        <v>1957645</v>
      </c>
      <c r="D7" s="30">
        <f>C7/B7*100</f>
        <v>88.645078264523576</v>
      </c>
      <c r="H7" s="12"/>
      <c r="I7" s="12"/>
      <c r="AA7" s="73"/>
    </row>
    <row r="8" spans="1:27" ht="24.75" customHeight="1">
      <c r="A8" s="31" t="s">
        <v>20</v>
      </c>
      <c r="B8" s="32">
        <v>253347.6</v>
      </c>
      <c r="C8" s="32">
        <v>219558.1</v>
      </c>
      <c r="D8" s="30">
        <f t="shared" si="0"/>
        <v>86.662790569162681</v>
      </c>
      <c r="E8" s="14">
        <f>C4+C6+C7+C8+C9+C10+C12</f>
        <v>10995961.800000001</v>
      </c>
      <c r="F8" s="14">
        <f>C13-E8</f>
        <v>0</v>
      </c>
      <c r="H8" s="12"/>
      <c r="I8" s="12"/>
    </row>
    <row r="9" spans="1:27" ht="18.75">
      <c r="A9" s="33" t="s">
        <v>51</v>
      </c>
      <c r="B9" s="32">
        <v>429534</v>
      </c>
      <c r="C9" s="32">
        <v>828258.5</v>
      </c>
      <c r="D9" s="30">
        <f t="shared" si="0"/>
        <v>192.82722671546372</v>
      </c>
      <c r="H9" s="12"/>
      <c r="I9" s="12"/>
    </row>
    <row r="10" spans="1:27" ht="24" customHeight="1">
      <c r="A10" s="31" t="s">
        <v>53</v>
      </c>
      <c r="B10" s="32">
        <v>400</v>
      </c>
      <c r="C10" s="32">
        <v>400</v>
      </c>
      <c r="D10" s="30">
        <f t="shared" si="0"/>
        <v>100</v>
      </c>
      <c r="H10" s="12"/>
      <c r="I10" s="12"/>
    </row>
    <row r="11" spans="1:27" ht="93.75" hidden="1">
      <c r="A11" s="33" t="s">
        <v>55</v>
      </c>
      <c r="B11" s="32"/>
      <c r="C11" s="32"/>
      <c r="D11" s="30"/>
      <c r="H11" s="12"/>
      <c r="I11" s="12"/>
    </row>
    <row r="12" spans="1:27" ht="61.5" customHeight="1">
      <c r="A12" s="31" t="s">
        <v>21</v>
      </c>
      <c r="B12" s="32">
        <v>-7849.3</v>
      </c>
      <c r="C12" s="32">
        <v>-8503.5</v>
      </c>
      <c r="D12" s="30">
        <f t="shared" si="0"/>
        <v>108.33450116570904</v>
      </c>
      <c r="H12" s="12"/>
      <c r="I12" s="12"/>
    </row>
    <row r="13" spans="1:27" ht="24" customHeight="1">
      <c r="A13" s="34" t="s">
        <v>5</v>
      </c>
      <c r="B13" s="35">
        <f>SUM(B4:B5)</f>
        <v>11221250.800000001</v>
      </c>
      <c r="C13" s="35">
        <f>SUM(C4:C5)</f>
        <v>10995961.800000001</v>
      </c>
      <c r="D13" s="35">
        <f t="shared" si="0"/>
        <v>97.992300466183323</v>
      </c>
      <c r="E13" s="19"/>
      <c r="F13" s="19"/>
      <c r="H13" s="12"/>
      <c r="I13" s="12"/>
    </row>
    <row r="14" spans="1:27" ht="0.75" customHeight="1">
      <c r="A14" s="28"/>
      <c r="B14" s="77"/>
      <c r="C14" s="78"/>
      <c r="D14" s="35" t="e">
        <f t="shared" si="0"/>
        <v>#DIV/0!</v>
      </c>
      <c r="H14" s="12"/>
      <c r="I14" s="12"/>
    </row>
    <row r="15" spans="1:27" ht="12.75" customHeight="1">
      <c r="A15" s="28"/>
      <c r="B15" s="79"/>
      <c r="C15" s="80"/>
      <c r="D15" s="36"/>
      <c r="E15" s="15"/>
      <c r="F15" s="15"/>
      <c r="H15" s="12"/>
      <c r="I15" s="12"/>
    </row>
    <row r="16" spans="1:27" ht="18.75">
      <c r="A16" s="26" t="s">
        <v>6</v>
      </c>
      <c r="B16" s="81"/>
      <c r="C16" s="81"/>
      <c r="D16" s="37"/>
      <c r="H16" s="12"/>
      <c r="I16" s="12"/>
    </row>
    <row r="17" spans="1:12" ht="18.75">
      <c r="A17" s="38" t="s">
        <v>7</v>
      </c>
      <c r="B17" s="66">
        <v>750106.8</v>
      </c>
      <c r="C17" s="66">
        <v>745794.2</v>
      </c>
      <c r="D17" s="36">
        <f t="shared" ref="D17:D21" si="1">C17/B17*100</f>
        <v>99.425068536907006</v>
      </c>
      <c r="F17" s="74"/>
      <c r="G17" s="74"/>
      <c r="H17" s="12"/>
      <c r="I17" s="12"/>
    </row>
    <row r="18" spans="1:12" ht="18.75">
      <c r="A18" s="39" t="s">
        <v>32</v>
      </c>
      <c r="B18" s="32">
        <f>B17-B20</f>
        <v>718748</v>
      </c>
      <c r="C18" s="32">
        <f>C17-C20</f>
        <v>714868.89999999991</v>
      </c>
      <c r="D18" s="40">
        <f t="shared" si="1"/>
        <v>99.46029762865426</v>
      </c>
      <c r="F18" s="74"/>
      <c r="G18" s="74"/>
      <c r="H18" s="12"/>
      <c r="I18" s="12"/>
    </row>
    <row r="19" spans="1:12" ht="18.75">
      <c r="A19" s="41" t="s">
        <v>33</v>
      </c>
      <c r="B19" s="32">
        <v>22.4</v>
      </c>
      <c r="C19" s="32">
        <v>0</v>
      </c>
      <c r="D19" s="40">
        <v>0</v>
      </c>
      <c r="E19" s="11" t="s">
        <v>41</v>
      </c>
      <c r="F19" s="215" t="s">
        <v>46</v>
      </c>
      <c r="G19" s="215"/>
      <c r="H19" s="12">
        <f t="shared" ref="H19" si="2">C19/B19*100</f>
        <v>0</v>
      </c>
      <c r="I19" s="12">
        <f t="shared" ref="I19" si="3">H19-D19</f>
        <v>0</v>
      </c>
      <c r="L19" s="23"/>
    </row>
    <row r="20" spans="1:12" ht="18.75">
      <c r="A20" s="39" t="s">
        <v>31</v>
      </c>
      <c r="B20" s="32">
        <v>31358.799999999999</v>
      </c>
      <c r="C20" s="32">
        <v>30925.3</v>
      </c>
      <c r="D20" s="40">
        <f t="shared" si="1"/>
        <v>98.617612918861681</v>
      </c>
      <c r="E20" s="4" t="s">
        <v>42</v>
      </c>
      <c r="F20" s="74"/>
      <c r="G20" s="74"/>
      <c r="H20" s="12"/>
      <c r="I20" s="12"/>
    </row>
    <row r="21" spans="1:12" s="13" customFormat="1" ht="18.75">
      <c r="A21" s="42" t="s">
        <v>8</v>
      </c>
      <c r="B21" s="66">
        <v>162.80000000000001</v>
      </c>
      <c r="C21" s="66">
        <v>162.69999999999999</v>
      </c>
      <c r="D21" s="43">
        <f t="shared" si="1"/>
        <v>99.938574938574916</v>
      </c>
      <c r="E21" s="10"/>
      <c r="F21" s="74"/>
      <c r="G21" s="74"/>
      <c r="H21" s="12"/>
      <c r="I21" s="12"/>
    </row>
    <row r="22" spans="1:12" s="13" customFormat="1" ht="39" customHeight="1">
      <c r="A22" s="42" t="s">
        <v>9</v>
      </c>
      <c r="B22" s="66">
        <v>200526.6</v>
      </c>
      <c r="C22" s="66">
        <v>166575.1</v>
      </c>
      <c r="D22" s="43">
        <f t="shared" ref="D22:D29" si="4">C22/B22*100</f>
        <v>83.068829771212393</v>
      </c>
      <c r="E22" s="10"/>
      <c r="F22" s="74"/>
      <c r="G22" s="74"/>
      <c r="H22" s="12"/>
      <c r="I22" s="12"/>
    </row>
    <row r="23" spans="1:12" ht="18.75">
      <c r="A23" s="39" t="s">
        <v>32</v>
      </c>
      <c r="B23" s="32">
        <f>B22-B24</f>
        <v>64485.399999999994</v>
      </c>
      <c r="C23" s="32">
        <f>C22-C24</f>
        <v>63244.400000000009</v>
      </c>
      <c r="D23" s="40">
        <f t="shared" si="4"/>
        <v>98.07553337654727</v>
      </c>
      <c r="F23" s="74"/>
      <c r="G23" s="74"/>
      <c r="H23" s="12"/>
      <c r="I23" s="12"/>
    </row>
    <row r="24" spans="1:12" ht="18.75">
      <c r="A24" s="39" t="s">
        <v>31</v>
      </c>
      <c r="B24" s="32">
        <v>136041.20000000001</v>
      </c>
      <c r="C24" s="32">
        <v>103330.7</v>
      </c>
      <c r="D24" s="40">
        <v>0</v>
      </c>
      <c r="F24" s="74"/>
      <c r="G24" s="74"/>
      <c r="H24" s="12"/>
      <c r="I24" s="12"/>
    </row>
    <row r="25" spans="1:12" ht="21.75" customHeight="1">
      <c r="A25" s="38" t="s">
        <v>10</v>
      </c>
      <c r="B25" s="66">
        <v>1114712</v>
      </c>
      <c r="C25" s="66">
        <v>1078586.6000000001</v>
      </c>
      <c r="D25" s="44">
        <f t="shared" si="4"/>
        <v>96.759216730420064</v>
      </c>
      <c r="E25" s="8"/>
      <c r="F25" s="74"/>
      <c r="G25" s="74"/>
      <c r="H25" s="12"/>
      <c r="I25" s="12"/>
    </row>
    <row r="26" spans="1:12" ht="18.75">
      <c r="A26" s="39" t="s">
        <v>15</v>
      </c>
      <c r="B26" s="32">
        <f>B25-B27</f>
        <v>400765.19999999995</v>
      </c>
      <c r="C26" s="32">
        <f>C25-C27</f>
        <v>370003.10000000009</v>
      </c>
      <c r="D26" s="40">
        <f t="shared" si="4"/>
        <v>92.324158884054839</v>
      </c>
      <c r="E26" s="8"/>
      <c r="F26" s="74"/>
      <c r="G26" s="74"/>
      <c r="H26" s="12"/>
      <c r="I26" s="12"/>
    </row>
    <row r="27" spans="1:12" ht="18.75">
      <c r="A27" s="39" t="s">
        <v>31</v>
      </c>
      <c r="B27" s="32">
        <v>713946.8</v>
      </c>
      <c r="C27" s="32">
        <v>708583.5</v>
      </c>
      <c r="D27" s="40">
        <f t="shared" si="4"/>
        <v>99.248781561875475</v>
      </c>
      <c r="E27" s="8"/>
      <c r="F27" s="74"/>
      <c r="G27" s="74"/>
      <c r="H27" s="12"/>
      <c r="I27" s="12"/>
    </row>
    <row r="28" spans="1:12" ht="18.75">
      <c r="A28" s="45" t="s">
        <v>11</v>
      </c>
      <c r="B28" s="66">
        <v>2123618.4</v>
      </c>
      <c r="C28" s="66">
        <v>1938325.3</v>
      </c>
      <c r="D28" s="36">
        <f t="shared" si="4"/>
        <v>91.274651792431257</v>
      </c>
      <c r="E28" s="14"/>
      <c r="F28" s="74"/>
      <c r="G28" s="74"/>
      <c r="H28" s="12"/>
      <c r="I28" s="12"/>
    </row>
    <row r="29" spans="1:12" ht="20.25" customHeight="1">
      <c r="A29" s="39" t="s">
        <v>32</v>
      </c>
      <c r="B29" s="32">
        <f>B28-B31</f>
        <v>1132372.2999999998</v>
      </c>
      <c r="C29" s="32">
        <f>C28-C31</f>
        <v>1104277.8</v>
      </c>
      <c r="D29" s="30">
        <f t="shared" si="4"/>
        <v>97.518969688679263</v>
      </c>
      <c r="F29" s="74"/>
      <c r="G29" s="74"/>
      <c r="H29" s="12"/>
      <c r="I29" s="12"/>
    </row>
    <row r="30" spans="1:12" ht="47.25" customHeight="1">
      <c r="A30" s="46" t="s">
        <v>47</v>
      </c>
      <c r="B30" s="32">
        <v>297106.90000000002</v>
      </c>
      <c r="C30" s="32">
        <v>276742.59999999998</v>
      </c>
      <c r="D30" s="30">
        <f>C30/B30*100</f>
        <v>93.145800383632945</v>
      </c>
      <c r="F30" s="74"/>
      <c r="G30" s="74"/>
      <c r="H30" s="12"/>
      <c r="I30" s="12"/>
      <c r="K30" s="15"/>
      <c r="L30" s="15"/>
    </row>
    <row r="31" spans="1:12" ht="20.25" customHeight="1">
      <c r="A31" s="39" t="s">
        <v>31</v>
      </c>
      <c r="B31" s="85">
        <v>991246.1</v>
      </c>
      <c r="C31" s="32">
        <v>834047.5</v>
      </c>
      <c r="D31" s="30">
        <f>C31/B31*100</f>
        <v>84.14131465435274</v>
      </c>
      <c r="F31" s="74"/>
      <c r="G31" s="74"/>
      <c r="H31" s="12"/>
      <c r="I31" s="12"/>
    </row>
    <row r="32" spans="1:12" ht="21" customHeight="1">
      <c r="A32" s="38" t="s">
        <v>13</v>
      </c>
      <c r="B32" s="66">
        <v>323</v>
      </c>
      <c r="C32" s="66">
        <v>323</v>
      </c>
      <c r="D32" s="36">
        <f>C32/B32*100</f>
        <v>100</v>
      </c>
      <c r="F32" s="2"/>
      <c r="G32" s="3"/>
      <c r="H32" s="12"/>
      <c r="I32" s="12"/>
    </row>
    <row r="33" spans="1:9" ht="19.5" customHeight="1">
      <c r="A33" s="47" t="s">
        <v>14</v>
      </c>
      <c r="B33" s="66">
        <v>3936803.4</v>
      </c>
      <c r="C33" s="66">
        <v>3935304.1</v>
      </c>
      <c r="D33" s="29">
        <f t="shared" ref="D33:D42" si="5">C33/B33*100</f>
        <v>99.961915802043862</v>
      </c>
      <c r="F33" s="74"/>
      <c r="G33" s="74"/>
      <c r="H33" s="12"/>
      <c r="I33" s="12"/>
    </row>
    <row r="34" spans="1:9" ht="18.75">
      <c r="A34" s="39" t="s">
        <v>15</v>
      </c>
      <c r="B34" s="32">
        <f>B33-B35</f>
        <v>1142442</v>
      </c>
      <c r="C34" s="32">
        <f>C33-C35</f>
        <v>1140966.8000000003</v>
      </c>
      <c r="D34" s="30">
        <f t="shared" si="5"/>
        <v>99.870873094651657</v>
      </c>
      <c r="F34" s="2"/>
      <c r="G34" s="3"/>
      <c r="H34" s="12"/>
      <c r="I34" s="12"/>
    </row>
    <row r="35" spans="1:9" ht="18.75">
      <c r="A35" s="39" t="s">
        <v>31</v>
      </c>
      <c r="B35" s="32">
        <v>2794361.4</v>
      </c>
      <c r="C35" s="32">
        <v>2794337.3</v>
      </c>
      <c r="D35" s="30">
        <f t="shared" si="5"/>
        <v>99.999137548922619</v>
      </c>
      <c r="F35" s="2"/>
      <c r="G35" s="3"/>
      <c r="H35" s="12"/>
      <c r="I35" s="12"/>
    </row>
    <row r="36" spans="1:9" ht="24" customHeight="1">
      <c r="A36" s="38" t="s">
        <v>22</v>
      </c>
      <c r="B36" s="66">
        <v>582772.6</v>
      </c>
      <c r="C36" s="66">
        <v>582363.9</v>
      </c>
      <c r="D36" s="36">
        <f t="shared" si="5"/>
        <v>99.929869729633836</v>
      </c>
      <c r="F36" s="74"/>
      <c r="G36" s="74"/>
      <c r="H36" s="12"/>
      <c r="I36" s="12"/>
    </row>
    <row r="37" spans="1:9" ht="18.75">
      <c r="A37" s="39" t="s">
        <v>15</v>
      </c>
      <c r="B37" s="32">
        <f>B36-B38</f>
        <v>412704.69999999995</v>
      </c>
      <c r="C37" s="32">
        <f>C36-C38</f>
        <v>412677.9</v>
      </c>
      <c r="D37" s="40">
        <f t="shared" si="5"/>
        <v>99.993506252775916</v>
      </c>
      <c r="F37" s="2"/>
      <c r="G37" s="3"/>
      <c r="H37" s="12"/>
      <c r="I37" s="12"/>
    </row>
    <row r="38" spans="1:9" ht="18.75">
      <c r="A38" s="39" t="s">
        <v>31</v>
      </c>
      <c r="B38" s="32">
        <v>170067.9</v>
      </c>
      <c r="C38" s="32">
        <v>169686</v>
      </c>
      <c r="D38" s="40">
        <f t="shared" si="5"/>
        <v>99.775442632031101</v>
      </c>
      <c r="F38" s="2"/>
      <c r="G38" s="3"/>
      <c r="H38" s="12"/>
      <c r="I38" s="12"/>
    </row>
    <row r="39" spans="1:9" ht="19.5" customHeight="1">
      <c r="A39" s="48" t="s">
        <v>23</v>
      </c>
      <c r="B39" s="67">
        <v>5337.5</v>
      </c>
      <c r="C39" s="67">
        <v>4942.2</v>
      </c>
      <c r="D39" s="49">
        <f t="shared" si="5"/>
        <v>92.593911007025753</v>
      </c>
      <c r="F39" s="74"/>
      <c r="G39" s="74"/>
      <c r="H39" s="12"/>
      <c r="I39" s="12"/>
    </row>
    <row r="40" spans="1:9" ht="18.75">
      <c r="A40" s="50" t="s">
        <v>15</v>
      </c>
      <c r="B40" s="84">
        <f>B39-B41</f>
        <v>5337.5</v>
      </c>
      <c r="C40" s="84">
        <f>C39-C41</f>
        <v>4942.2</v>
      </c>
      <c r="D40" s="51">
        <f t="shared" si="5"/>
        <v>92.593911007025753</v>
      </c>
      <c r="F40" s="2"/>
      <c r="G40" s="3"/>
      <c r="H40" s="12"/>
      <c r="I40" s="12"/>
    </row>
    <row r="41" spans="1:9" ht="21.75" customHeight="1">
      <c r="A41" s="39" t="s">
        <v>31</v>
      </c>
      <c r="B41" s="84">
        <v>0</v>
      </c>
      <c r="C41" s="84">
        <v>0</v>
      </c>
      <c r="D41" s="51"/>
      <c r="F41" s="2"/>
      <c r="G41" s="3"/>
      <c r="H41" s="12"/>
      <c r="I41" s="12"/>
    </row>
    <row r="42" spans="1:9" ht="0.75" customHeight="1">
      <c r="A42" s="52" t="s">
        <v>12</v>
      </c>
      <c r="B42" s="82"/>
      <c r="C42" s="82"/>
      <c r="D42" s="53" t="e">
        <f t="shared" si="5"/>
        <v>#DIV/0!</v>
      </c>
      <c r="F42" s="2"/>
      <c r="G42" s="3"/>
      <c r="H42" s="12"/>
      <c r="I42" s="12"/>
    </row>
    <row r="43" spans="1:9" ht="20.25" customHeight="1">
      <c r="A43" s="54" t="s">
        <v>16</v>
      </c>
      <c r="B43" s="68">
        <v>2389644.9</v>
      </c>
      <c r="C43" s="68">
        <v>2388425.2000000002</v>
      </c>
      <c r="D43" s="55">
        <f t="shared" ref="D43:D52" si="6">C43/B43*100</f>
        <v>99.948958943648918</v>
      </c>
      <c r="F43" s="74"/>
      <c r="G43" s="74"/>
      <c r="H43" s="12"/>
      <c r="I43" s="12"/>
    </row>
    <row r="44" spans="1:9" ht="18.75">
      <c r="A44" s="39" t="s">
        <v>15</v>
      </c>
      <c r="B44" s="32">
        <f>B43-B45</f>
        <v>79366.5</v>
      </c>
      <c r="C44" s="32">
        <f>C43-C45</f>
        <v>79362.600000000093</v>
      </c>
      <c r="D44" s="40">
        <f t="shared" si="6"/>
        <v>99.995086087959137</v>
      </c>
      <c r="F44" s="74"/>
      <c r="G44" s="74"/>
      <c r="H44" s="12"/>
      <c r="I44" s="12"/>
    </row>
    <row r="45" spans="1:9" ht="18.75">
      <c r="A45" s="39" t="s">
        <v>31</v>
      </c>
      <c r="B45" s="32">
        <v>2310278.4</v>
      </c>
      <c r="C45" s="32">
        <v>2309062.6</v>
      </c>
      <c r="D45" s="40">
        <f t="shared" si="6"/>
        <v>99.947374307789062</v>
      </c>
      <c r="F45" s="74"/>
      <c r="G45" s="74"/>
      <c r="H45" s="12"/>
      <c r="I45" s="12"/>
    </row>
    <row r="46" spans="1:9" ht="18.75" customHeight="1">
      <c r="A46" s="45" t="s">
        <v>24</v>
      </c>
      <c r="B46" s="66">
        <v>159053.9</v>
      </c>
      <c r="C46" s="66">
        <v>159039.79999999999</v>
      </c>
      <c r="D46" s="36">
        <f t="shared" si="6"/>
        <v>99.991135080623607</v>
      </c>
      <c r="F46" s="74"/>
      <c r="G46" s="74"/>
      <c r="H46" s="12"/>
      <c r="I46" s="12"/>
    </row>
    <row r="47" spans="1:9" ht="33.75" hidden="1" customHeight="1">
      <c r="A47" s="46" t="s">
        <v>25</v>
      </c>
      <c r="B47" s="83"/>
      <c r="C47" s="75"/>
      <c r="D47" s="36" t="e">
        <f t="shared" si="6"/>
        <v>#DIV/0!</v>
      </c>
      <c r="F47" s="74"/>
      <c r="G47" s="74"/>
      <c r="H47" s="12"/>
      <c r="I47" s="12"/>
    </row>
    <row r="48" spans="1:9" ht="0.75" hidden="1" customHeight="1">
      <c r="A48" s="46" t="s">
        <v>26</v>
      </c>
      <c r="B48" s="75"/>
      <c r="C48" s="75"/>
      <c r="D48" s="36" t="e">
        <f t="shared" si="6"/>
        <v>#DIV/0!</v>
      </c>
      <c r="F48" s="74"/>
      <c r="G48" s="74"/>
      <c r="H48" s="12"/>
      <c r="I48" s="12"/>
    </row>
    <row r="49" spans="1:23" ht="21.75" customHeight="1">
      <c r="A49" s="39" t="s">
        <v>15</v>
      </c>
      <c r="B49" s="32">
        <f>B46-B50</f>
        <v>156474.1</v>
      </c>
      <c r="C49" s="32">
        <f>C46-C50</f>
        <v>156460.09999999998</v>
      </c>
      <c r="D49" s="40">
        <f t="shared" si="6"/>
        <v>99.991052832385662</v>
      </c>
      <c r="F49" s="74"/>
      <c r="G49" s="74"/>
      <c r="H49" s="12"/>
      <c r="I49" s="12"/>
    </row>
    <row r="50" spans="1:23" ht="20.25" customHeight="1">
      <c r="A50" s="39" t="s">
        <v>31</v>
      </c>
      <c r="B50" s="32">
        <v>2579.8000000000002</v>
      </c>
      <c r="C50" s="32">
        <v>2579.6999999999998</v>
      </c>
      <c r="D50" s="40">
        <f t="shared" si="6"/>
        <v>99.996123730521731</v>
      </c>
      <c r="F50" s="74"/>
      <c r="G50" s="74"/>
      <c r="H50" s="12"/>
      <c r="I50" s="12"/>
    </row>
    <row r="51" spans="1:23" s="20" customFormat="1" ht="18.75">
      <c r="A51" s="45" t="s">
        <v>27</v>
      </c>
      <c r="B51" s="66">
        <v>1210</v>
      </c>
      <c r="C51" s="66">
        <v>1115.9000000000001</v>
      </c>
      <c r="D51" s="36">
        <f t="shared" si="6"/>
        <v>92.223140495867767</v>
      </c>
      <c r="F51" s="21"/>
      <c r="G51" s="21"/>
      <c r="H51" s="22"/>
      <c r="I51" s="22"/>
    </row>
    <row r="52" spans="1:23" ht="40.5" customHeight="1">
      <c r="A52" s="38" t="s">
        <v>28</v>
      </c>
      <c r="B52" s="66">
        <v>145193.4</v>
      </c>
      <c r="C52" s="66">
        <v>145193.4</v>
      </c>
      <c r="D52" s="36">
        <f t="shared" si="6"/>
        <v>100</v>
      </c>
      <c r="E52" s="14"/>
      <c r="F52" s="74"/>
      <c r="G52" s="74"/>
      <c r="H52" s="12"/>
      <c r="I52" s="12"/>
    </row>
    <row r="53" spans="1:23" ht="23.25" customHeight="1">
      <c r="A53" s="56" t="s">
        <v>17</v>
      </c>
      <c r="B53" s="35">
        <f>B17+B21+B22+B25+B28+B32+B33+B36+B39+B43+B46+B51+B52</f>
        <v>11409465.300000001</v>
      </c>
      <c r="C53" s="35">
        <f>C17+C21+C22+C25+C28+C32+C33+C36+C39+C43+C46+C51+C52</f>
        <v>11146151.400000002</v>
      </c>
      <c r="D53" s="35">
        <f>C53/B53*100</f>
        <v>97.69214513496965</v>
      </c>
      <c r="E53" s="14"/>
      <c r="F53" s="74"/>
      <c r="G53" s="74"/>
      <c r="H53" s="16"/>
      <c r="I53" s="12"/>
    </row>
    <row r="54" spans="1:23" ht="11.25" customHeight="1">
      <c r="A54" s="57"/>
      <c r="B54" s="76"/>
      <c r="C54" s="76"/>
      <c r="D54" s="36"/>
    </row>
    <row r="55" spans="1:23" ht="18" customHeight="1">
      <c r="A55" s="26" t="s">
        <v>18</v>
      </c>
      <c r="B55" s="69">
        <v>-44921.599999999999</v>
      </c>
      <c r="C55" s="69">
        <f>C13-C53</f>
        <v>-150189.60000000149</v>
      </c>
      <c r="D55" s="37"/>
      <c r="E55" s="4" t="s">
        <v>43</v>
      </c>
      <c r="W55" s="14"/>
    </row>
    <row r="56" spans="1:23" ht="8.25" customHeight="1">
      <c r="A56" s="57"/>
      <c r="B56" s="66"/>
      <c r="C56" s="66"/>
      <c r="D56" s="36"/>
    </row>
    <row r="57" spans="1:23" ht="21.75" customHeight="1">
      <c r="A57" s="26" t="s">
        <v>19</v>
      </c>
      <c r="B57" s="35">
        <f>B58+B61+B68+B66</f>
        <v>44921.599999999999</v>
      </c>
      <c r="C57" s="35">
        <f>C58+C61+C68+C66</f>
        <v>150189.6</v>
      </c>
      <c r="D57" s="37"/>
      <c r="E57" s="14">
        <f>B55+B57</f>
        <v>0</v>
      </c>
      <c r="F57" s="14">
        <f>C55+C57</f>
        <v>-1.4842953532934189E-9</v>
      </c>
      <c r="L57" s="14">
        <f>B55+B57</f>
        <v>0</v>
      </c>
      <c r="M57" s="14">
        <f>C55+C57</f>
        <v>-1.4842953532934189E-9</v>
      </c>
    </row>
    <row r="58" spans="1:23" ht="21" customHeight="1">
      <c r="A58" s="58" t="s">
        <v>34</v>
      </c>
      <c r="B58" s="32">
        <f>B59-B60</f>
        <v>0</v>
      </c>
      <c r="C58" s="32">
        <f>C59-C60</f>
        <v>0</v>
      </c>
      <c r="D58" s="29"/>
    </row>
    <row r="59" spans="1:23" ht="18.75">
      <c r="A59" s="59" t="s">
        <v>35</v>
      </c>
      <c r="B59" s="70">
        <v>0</v>
      </c>
      <c r="C59" s="70">
        <v>0</v>
      </c>
      <c r="D59" s="29"/>
    </row>
    <row r="60" spans="1:23" ht="21.75" customHeight="1">
      <c r="A60" s="59" t="s">
        <v>36</v>
      </c>
      <c r="B60" s="70">
        <v>0</v>
      </c>
      <c r="C60" s="70">
        <v>0</v>
      </c>
      <c r="D60" s="29"/>
      <c r="E60" s="4" t="s">
        <v>44</v>
      </c>
    </row>
    <row r="61" spans="1:23" ht="18.75">
      <c r="A61" s="58" t="s">
        <v>37</v>
      </c>
      <c r="B61" s="32">
        <f>B64-B65</f>
        <v>0</v>
      </c>
      <c r="C61" s="32">
        <f>C64-C65</f>
        <v>0</v>
      </c>
      <c r="D61" s="29"/>
    </row>
    <row r="62" spans="1:23" ht="24.75" hidden="1" customHeight="1">
      <c r="A62" s="58" t="s">
        <v>30</v>
      </c>
      <c r="B62" s="32">
        <v>0</v>
      </c>
      <c r="C62" s="32">
        <v>0</v>
      </c>
      <c r="D62" s="29"/>
    </row>
    <row r="63" spans="1:23" ht="36.75" hidden="1" customHeight="1">
      <c r="A63" s="58" t="s">
        <v>29</v>
      </c>
      <c r="B63" s="32">
        <v>1709</v>
      </c>
      <c r="C63" s="32">
        <v>1709</v>
      </c>
      <c r="D63" s="29"/>
    </row>
    <row r="64" spans="1:23" ht="18.75">
      <c r="A64" s="59" t="s">
        <v>38</v>
      </c>
      <c r="B64" s="70">
        <v>1657000</v>
      </c>
      <c r="C64" s="70">
        <v>1657000</v>
      </c>
      <c r="D64" s="29"/>
      <c r="E64" s="14"/>
    </row>
    <row r="65" spans="1:23" ht="18" customHeight="1">
      <c r="A65" s="59" t="s">
        <v>39</v>
      </c>
      <c r="B65" s="70">
        <v>1657000</v>
      </c>
      <c r="C65" s="70">
        <v>1657000</v>
      </c>
      <c r="D65" s="29"/>
      <c r="E65" s="14"/>
    </row>
    <row r="66" spans="1:23" ht="43.5" customHeight="1">
      <c r="A66" s="58" t="s">
        <v>54</v>
      </c>
      <c r="B66" s="70">
        <f>SUM(B67:B67)</f>
        <v>0</v>
      </c>
      <c r="C66" s="70">
        <f>SUM(C67)</f>
        <v>-46956.5</v>
      </c>
      <c r="D66" s="29"/>
      <c r="E66" s="14"/>
    </row>
    <row r="67" spans="1:23" ht="69.75" customHeight="1">
      <c r="A67" s="60" t="s">
        <v>48</v>
      </c>
      <c r="B67" s="70">
        <v>0</v>
      </c>
      <c r="C67" s="70">
        <v>-46956.5</v>
      </c>
      <c r="D67" s="29"/>
      <c r="E67" s="14"/>
      <c r="W67" s="14"/>
    </row>
    <row r="68" spans="1:23" ht="20.25" customHeight="1">
      <c r="A68" s="58" t="s">
        <v>50</v>
      </c>
      <c r="B68" s="32">
        <v>44921.599999999999</v>
      </c>
      <c r="C68" s="32">
        <v>197146.1</v>
      </c>
      <c r="D68" s="61"/>
      <c r="E68" s="4" t="s">
        <v>45</v>
      </c>
    </row>
    <row r="69" spans="1:23" ht="20.25" customHeight="1">
      <c r="A69" s="62"/>
      <c r="B69" s="63"/>
      <c r="C69" s="63"/>
      <c r="D69" s="64"/>
    </row>
    <row r="70" spans="1:23" ht="20.25" customHeight="1">
      <c r="A70" s="62"/>
      <c r="B70" s="63"/>
      <c r="C70" s="63"/>
      <c r="D70" s="64"/>
    </row>
    <row r="71" spans="1:23" s="11" customFormat="1" ht="46.5" customHeight="1">
      <c r="A71" s="214" t="s">
        <v>58</v>
      </c>
      <c r="B71" s="214"/>
      <c r="C71" s="71"/>
      <c r="D71" s="72" t="s">
        <v>59</v>
      </c>
    </row>
    <row r="72" spans="1:23" ht="14.25">
      <c r="A72" s="5"/>
      <c r="B72" s="6"/>
      <c r="C72" s="7"/>
      <c r="D72" s="7"/>
    </row>
    <row r="73" spans="1:23" ht="14.25">
      <c r="A73" s="5"/>
      <c r="B73" s="6"/>
      <c r="C73" s="7"/>
      <c r="D73" s="7"/>
    </row>
    <row r="74" spans="1:23" ht="14.25">
      <c r="A74" s="5"/>
      <c r="B74" s="6"/>
      <c r="C74" s="7"/>
      <c r="D74" s="7"/>
    </row>
    <row r="75" spans="1:23" ht="14.25">
      <c r="A75" s="5"/>
      <c r="B75" s="6"/>
      <c r="C75" s="7"/>
      <c r="D75" s="7"/>
    </row>
    <row r="76" spans="1:23" ht="14.25">
      <c r="A76" s="5"/>
      <c r="B76" s="6"/>
      <c r="C76" s="7"/>
      <c r="D76" s="7"/>
    </row>
    <row r="77" spans="1:23" ht="14.25">
      <c r="A77" s="5"/>
      <c r="B77" s="6"/>
      <c r="C77" s="7"/>
      <c r="D77" s="7"/>
    </row>
    <row r="78" spans="1:23" ht="14.25">
      <c r="A78" s="5"/>
      <c r="B78" s="6"/>
      <c r="C78" s="7"/>
      <c r="D78" s="7"/>
    </row>
    <row r="79" spans="1:23" ht="14.25">
      <c r="A79" s="5"/>
      <c r="B79" s="6"/>
      <c r="C79" s="7"/>
      <c r="D79" s="7"/>
    </row>
    <row r="80" spans="1:23" ht="14.25">
      <c r="A80" s="5"/>
      <c r="B80" s="6"/>
      <c r="C80" s="7"/>
      <c r="D80" s="7"/>
    </row>
    <row r="81" spans="1:4" ht="14.25">
      <c r="A81" s="5"/>
      <c r="B81" s="6"/>
      <c r="C81" s="7"/>
      <c r="D81" s="7"/>
    </row>
    <row r="82" spans="1:4" ht="14.25">
      <c r="A82" s="5"/>
      <c r="B82" s="6"/>
      <c r="C82" s="7"/>
      <c r="D82" s="7"/>
    </row>
    <row r="83" spans="1:4" ht="14.25">
      <c r="A83" s="5"/>
      <c r="B83" s="6"/>
      <c r="C83" s="7"/>
      <c r="D83" s="7"/>
    </row>
    <row r="84" spans="1:4" ht="14.25">
      <c r="A84" s="5"/>
      <c r="B84" s="6"/>
      <c r="C84" s="7"/>
      <c r="D84" s="7"/>
    </row>
    <row r="85" spans="1:4" ht="14.25">
      <c r="A85" s="5"/>
      <c r="B85" s="6"/>
      <c r="C85" s="7"/>
      <c r="D85" s="7"/>
    </row>
    <row r="86" spans="1:4" ht="14.25">
      <c r="A86" s="5"/>
      <c r="B86" s="6"/>
      <c r="C86" s="7"/>
      <c r="D86" s="7"/>
    </row>
    <row r="87" spans="1:4" ht="14.25">
      <c r="A87" s="5"/>
      <c r="B87" s="6"/>
      <c r="C87" s="7"/>
      <c r="D87" s="7"/>
    </row>
    <row r="88" spans="1:4" ht="14.25">
      <c r="A88" s="5"/>
      <c r="B88" s="6"/>
      <c r="C88" s="7"/>
      <c r="D88" s="7"/>
    </row>
    <row r="89" spans="1:4" ht="14.25">
      <c r="A89" s="5"/>
      <c r="B89" s="6"/>
      <c r="C89" s="7"/>
      <c r="D89" s="7"/>
    </row>
    <row r="90" spans="1:4" ht="14.25">
      <c r="A90" s="5"/>
      <c r="B90" s="6"/>
      <c r="C90" s="7"/>
      <c r="D90" s="7"/>
    </row>
    <row r="91" spans="1:4" ht="14.25">
      <c r="A91" s="5"/>
      <c r="B91" s="6"/>
      <c r="C91" s="7"/>
      <c r="D91" s="7"/>
    </row>
    <row r="92" spans="1:4" ht="14.25">
      <c r="A92" s="5"/>
      <c r="B92" s="6"/>
      <c r="C92" s="7"/>
      <c r="D92" s="7"/>
    </row>
    <row r="93" spans="1:4" ht="14.25">
      <c r="A93" s="5"/>
      <c r="B93" s="6"/>
      <c r="C93" s="7"/>
      <c r="D93" s="7"/>
    </row>
    <row r="94" spans="1:4" ht="14.25">
      <c r="A94" s="5"/>
      <c r="B94" s="6"/>
      <c r="C94" s="7"/>
      <c r="D94" s="7"/>
    </row>
    <row r="95" spans="1:4" ht="14.25">
      <c r="A95" s="5"/>
      <c r="B95" s="6"/>
      <c r="C95" s="7"/>
      <c r="D95" s="7"/>
    </row>
    <row r="96" spans="1:4" ht="14.25">
      <c r="A96" s="5"/>
      <c r="B96" s="6"/>
      <c r="C96" s="7"/>
      <c r="D96" s="7"/>
    </row>
    <row r="97" spans="1:4" ht="14.25">
      <c r="A97" s="5"/>
      <c r="B97" s="6"/>
      <c r="C97" s="7"/>
      <c r="D97" s="7"/>
    </row>
    <row r="98" spans="1:4" ht="14.25">
      <c r="A98" s="5"/>
      <c r="B98" s="6"/>
      <c r="C98" s="7"/>
      <c r="D98" s="7"/>
    </row>
    <row r="99" spans="1:4" ht="14.25">
      <c r="A99" s="5"/>
      <c r="B99" s="6"/>
      <c r="C99" s="7"/>
      <c r="D99" s="7"/>
    </row>
    <row r="100" spans="1:4" ht="14.25">
      <c r="A100" s="5"/>
      <c r="B100" s="6"/>
      <c r="C100" s="7"/>
      <c r="D100" s="7"/>
    </row>
    <row r="101" spans="1:4" ht="14.25">
      <c r="A101" s="5"/>
      <c r="B101" s="6"/>
      <c r="C101" s="7"/>
      <c r="D101" s="7"/>
    </row>
    <row r="102" spans="1:4" ht="14.25">
      <c r="A102" s="5"/>
      <c r="B102" s="6"/>
      <c r="C102" s="7"/>
      <c r="D102" s="7"/>
    </row>
    <row r="103" spans="1:4" ht="14.25">
      <c r="A103" s="5"/>
      <c r="B103" s="6"/>
      <c r="C103" s="7"/>
      <c r="D103" s="7"/>
    </row>
    <row r="104" spans="1:4" ht="14.25">
      <c r="A104" s="5"/>
      <c r="B104" s="6"/>
      <c r="C104" s="7"/>
      <c r="D104" s="7"/>
    </row>
    <row r="105" spans="1:4" ht="14.25">
      <c r="A105" s="5"/>
      <c r="B105" s="6"/>
      <c r="C105" s="7"/>
      <c r="D105" s="7"/>
    </row>
    <row r="106" spans="1:4" ht="14.25">
      <c r="A106" s="5"/>
      <c r="B106" s="6"/>
      <c r="C106" s="7"/>
      <c r="D106" s="7"/>
    </row>
    <row r="107" spans="1:4" ht="14.25">
      <c r="A107" s="5"/>
      <c r="B107" s="6"/>
      <c r="C107" s="7"/>
      <c r="D107" s="7"/>
    </row>
    <row r="108" spans="1:4" ht="14.25">
      <c r="A108" s="5"/>
      <c r="B108" s="6"/>
      <c r="C108" s="7"/>
      <c r="D108" s="7"/>
    </row>
    <row r="109" spans="1:4" ht="14.25">
      <c r="A109" s="5"/>
      <c r="B109" s="6"/>
      <c r="C109" s="7"/>
      <c r="D109" s="7"/>
    </row>
    <row r="110" spans="1:4" ht="14.25">
      <c r="A110" s="5"/>
      <c r="B110" s="6"/>
      <c r="C110" s="7"/>
      <c r="D110" s="7"/>
    </row>
    <row r="111" spans="1:4" ht="14.25">
      <c r="A111" s="5"/>
      <c r="B111" s="6"/>
      <c r="C111" s="7"/>
      <c r="D111" s="7"/>
    </row>
    <row r="112" spans="1:4" ht="14.25">
      <c r="A112" s="5"/>
      <c r="B112" s="6"/>
      <c r="C112" s="7"/>
      <c r="D112" s="7"/>
    </row>
    <row r="113" spans="1:4" ht="14.25">
      <c r="A113" s="5"/>
      <c r="B113" s="6"/>
      <c r="C113" s="7"/>
      <c r="D113" s="7"/>
    </row>
    <row r="114" spans="1:4" ht="14.25">
      <c r="A114" s="5"/>
      <c r="B114" s="6"/>
      <c r="C114" s="7"/>
      <c r="D114" s="7"/>
    </row>
    <row r="115" spans="1:4" ht="14.25">
      <c r="A115" s="5"/>
      <c r="B115" s="6"/>
      <c r="C115" s="7"/>
      <c r="D115" s="7"/>
    </row>
    <row r="116" spans="1:4" ht="14.25">
      <c r="A116" s="5"/>
      <c r="B116" s="6"/>
      <c r="C116" s="7"/>
      <c r="D116" s="7"/>
    </row>
    <row r="117" spans="1:4" ht="14.25">
      <c r="A117" s="5"/>
      <c r="B117" s="6"/>
      <c r="C117" s="7"/>
      <c r="D117" s="7"/>
    </row>
    <row r="118" spans="1:4" ht="14.25">
      <c r="A118" s="5"/>
      <c r="B118" s="6"/>
      <c r="C118" s="7"/>
      <c r="D118" s="7"/>
    </row>
    <row r="119" spans="1:4" ht="14.25">
      <c r="A119" s="5"/>
      <c r="B119" s="6"/>
      <c r="C119" s="7"/>
      <c r="D119" s="7"/>
    </row>
    <row r="120" spans="1:4" ht="14.25">
      <c r="A120" s="5"/>
      <c r="B120" s="6"/>
      <c r="C120" s="7"/>
      <c r="D120" s="7"/>
    </row>
    <row r="121" spans="1:4" ht="14.25">
      <c r="A121" s="5"/>
      <c r="B121" s="6"/>
      <c r="C121" s="7"/>
      <c r="D121" s="7"/>
    </row>
    <row r="122" spans="1:4" ht="14.25">
      <c r="A122" s="5"/>
      <c r="B122" s="6"/>
      <c r="C122" s="7"/>
      <c r="D122" s="7"/>
    </row>
    <row r="123" spans="1:4" ht="14.25">
      <c r="A123" s="5"/>
      <c r="B123" s="6"/>
      <c r="C123" s="7"/>
      <c r="D123" s="7"/>
    </row>
    <row r="124" spans="1:4" ht="14.25">
      <c r="A124" s="5"/>
      <c r="B124" s="6"/>
      <c r="C124" s="7"/>
      <c r="D124" s="7"/>
    </row>
    <row r="125" spans="1:4" ht="14.25">
      <c r="A125" s="5"/>
      <c r="B125" s="6"/>
      <c r="C125" s="7"/>
      <c r="D125" s="7"/>
    </row>
    <row r="126" spans="1:4" ht="14.25">
      <c r="A126" s="5"/>
      <c r="B126" s="6"/>
      <c r="C126" s="7"/>
      <c r="D126" s="7"/>
    </row>
    <row r="127" spans="1:4" ht="14.25">
      <c r="A127" s="5"/>
      <c r="B127" s="6"/>
      <c r="C127" s="7"/>
      <c r="D127" s="7"/>
    </row>
    <row r="128" spans="1:4" ht="14.25">
      <c r="A128" s="5"/>
      <c r="B128" s="6"/>
      <c r="C128" s="7"/>
      <c r="D128" s="7"/>
    </row>
    <row r="129" spans="1:4" ht="14.25">
      <c r="A129" s="5"/>
      <c r="B129" s="6"/>
      <c r="C129" s="7"/>
      <c r="D129" s="7"/>
    </row>
    <row r="130" spans="1:4" ht="14.25">
      <c r="A130" s="5"/>
      <c r="B130" s="6"/>
      <c r="C130" s="7"/>
      <c r="D130" s="7"/>
    </row>
    <row r="131" spans="1:4" ht="14.25">
      <c r="A131" s="5"/>
      <c r="B131" s="6"/>
      <c r="C131" s="7"/>
      <c r="D131" s="7"/>
    </row>
    <row r="132" spans="1:4" ht="14.25">
      <c r="A132" s="5"/>
      <c r="B132" s="6"/>
      <c r="C132" s="7"/>
      <c r="D132" s="7"/>
    </row>
    <row r="133" spans="1:4" ht="14.25">
      <c r="A133" s="5"/>
      <c r="B133" s="6"/>
      <c r="C133" s="7"/>
      <c r="D133" s="7"/>
    </row>
    <row r="134" spans="1:4" ht="14.25">
      <c r="A134" s="5"/>
      <c r="B134" s="6"/>
      <c r="C134" s="7"/>
      <c r="D134" s="7"/>
    </row>
    <row r="135" spans="1:4" ht="14.25">
      <c r="A135" s="5"/>
      <c r="B135" s="6"/>
      <c r="C135" s="7"/>
      <c r="D135" s="7"/>
    </row>
    <row r="136" spans="1:4" ht="14.25">
      <c r="A136" s="5"/>
      <c r="B136" s="6"/>
      <c r="C136" s="7"/>
      <c r="D136" s="7"/>
    </row>
    <row r="137" spans="1:4" ht="14.25">
      <c r="A137" s="5"/>
      <c r="B137" s="6"/>
      <c r="C137" s="7"/>
      <c r="D137" s="7"/>
    </row>
    <row r="138" spans="1:4" ht="14.25">
      <c r="A138" s="5"/>
      <c r="B138" s="6"/>
      <c r="C138" s="7"/>
      <c r="D138" s="7"/>
    </row>
    <row r="139" spans="1:4" ht="14.25">
      <c r="A139" s="5"/>
      <c r="B139" s="6"/>
      <c r="C139" s="7"/>
      <c r="D139" s="7"/>
    </row>
    <row r="140" spans="1:4" ht="14.25">
      <c r="A140" s="5"/>
      <c r="B140" s="6"/>
      <c r="C140" s="7"/>
      <c r="D140" s="7"/>
    </row>
    <row r="141" spans="1:4" ht="14.25">
      <c r="A141" s="5"/>
      <c r="B141" s="6"/>
      <c r="C141" s="7"/>
      <c r="D141" s="7"/>
    </row>
    <row r="142" spans="1:4" ht="14.25">
      <c r="A142" s="5"/>
      <c r="B142" s="6"/>
      <c r="C142" s="7"/>
      <c r="D142" s="7"/>
    </row>
    <row r="143" spans="1:4" ht="14.25">
      <c r="A143" s="5"/>
      <c r="B143" s="6"/>
      <c r="C143" s="7"/>
      <c r="D143" s="7"/>
    </row>
    <row r="144" spans="1:4" ht="14.25">
      <c r="A144" s="5"/>
      <c r="B144" s="6"/>
      <c r="C144" s="7"/>
      <c r="D144" s="7"/>
    </row>
    <row r="145" spans="1:4" ht="14.25">
      <c r="A145" s="5"/>
      <c r="B145" s="6"/>
      <c r="C145" s="7"/>
      <c r="D145" s="7"/>
    </row>
    <row r="146" spans="1:4" ht="14.25">
      <c r="A146" s="5"/>
      <c r="B146" s="6"/>
      <c r="C146" s="7"/>
      <c r="D146" s="7"/>
    </row>
    <row r="147" spans="1:4" ht="14.25">
      <c r="A147" s="5"/>
      <c r="B147" s="6"/>
      <c r="C147" s="7"/>
      <c r="D147" s="7"/>
    </row>
    <row r="148" spans="1:4" ht="14.25">
      <c r="A148" s="5"/>
      <c r="B148" s="6"/>
      <c r="C148" s="7"/>
      <c r="D148" s="7"/>
    </row>
    <row r="149" spans="1:4" ht="14.25">
      <c r="A149" s="5"/>
      <c r="B149" s="6"/>
      <c r="C149" s="7"/>
      <c r="D149" s="7"/>
    </row>
    <row r="150" spans="1:4" ht="14.25">
      <c r="A150" s="5"/>
      <c r="B150" s="6"/>
      <c r="C150" s="7"/>
      <c r="D150" s="7"/>
    </row>
    <row r="151" spans="1:4" ht="14.25">
      <c r="A151" s="5"/>
      <c r="B151" s="6"/>
      <c r="C151" s="7"/>
      <c r="D151" s="7"/>
    </row>
    <row r="152" spans="1:4" ht="14.25">
      <c r="A152" s="5"/>
      <c r="B152" s="6"/>
      <c r="C152" s="7"/>
      <c r="D152" s="7"/>
    </row>
    <row r="153" spans="1:4" ht="14.25">
      <c r="A153" s="5"/>
      <c r="B153" s="6"/>
      <c r="C153" s="7"/>
      <c r="D153" s="7"/>
    </row>
    <row r="154" spans="1:4" ht="14.25">
      <c r="A154" s="5"/>
      <c r="B154" s="6"/>
      <c r="C154" s="7"/>
      <c r="D154" s="7"/>
    </row>
    <row r="155" spans="1:4" ht="14.25">
      <c r="A155" s="5"/>
      <c r="B155" s="6"/>
      <c r="C155" s="7"/>
      <c r="D155" s="7"/>
    </row>
    <row r="156" spans="1:4" ht="14.25">
      <c r="A156" s="5"/>
      <c r="B156" s="6"/>
      <c r="C156" s="7"/>
      <c r="D156" s="7"/>
    </row>
    <row r="157" spans="1:4" ht="14.25">
      <c r="A157" s="5"/>
      <c r="B157" s="6"/>
      <c r="C157" s="7"/>
      <c r="D157" s="7"/>
    </row>
    <row r="158" spans="1:4" ht="14.25">
      <c r="A158" s="5"/>
      <c r="B158" s="6"/>
      <c r="C158" s="7"/>
      <c r="D158" s="7"/>
    </row>
    <row r="159" spans="1:4" ht="14.25">
      <c r="A159" s="5"/>
      <c r="B159" s="6"/>
      <c r="C159" s="7"/>
      <c r="D159" s="7"/>
    </row>
  </sheetData>
  <mergeCells count="3">
    <mergeCell ref="A1:D1"/>
    <mergeCell ref="A71:B71"/>
    <mergeCell ref="F19:G19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2024-02-06T11:19:48Z</cp:lastPrinted>
  <dcterms:created xsi:type="dcterms:W3CDTF">2009-06-17T07:34:38Z</dcterms:created>
  <dcterms:modified xsi:type="dcterms:W3CDTF">2024-02-06T11:33:41Z</dcterms:modified>
</cp:coreProperties>
</file>