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600" windowHeight="7635" activeTab="1"/>
  </bookViews>
  <sheets>
    <sheet name="доходы" sheetId="2" r:id="rId1"/>
    <sheet name="исполнение" sheetId="1" r:id="rId2"/>
  </sheets>
  <externalReferences>
    <externalReference r:id="rId3"/>
  </externalReferences>
  <definedNames>
    <definedName name="_Hlk105920340_2" localSheetId="0">#REF!</definedName>
    <definedName name="_Hlk105920340_2">#REF!</definedName>
    <definedName name="_Hlk113273915_2" localSheetId="0">#REF!</definedName>
    <definedName name="_Hlk113273915_2">#REF!</definedName>
    <definedName name="OLE_LINK15_2" localSheetId="0">#REF!</definedName>
    <definedName name="OLE_LINK15_2">#REF!</definedName>
    <definedName name="OLE_LINK17_2" localSheetId="0">#REF!</definedName>
    <definedName name="OLE_LINK17_2">#REF!</definedName>
    <definedName name="OLE_LINK7_2" localSheetId="0">#REF!</definedName>
    <definedName name="OLE_LINK7_2">#REF!</definedName>
    <definedName name="_xlnm.Print_Titles" localSheetId="1">исполнение!$3:$3</definedName>
    <definedName name="_xlnm.Print_Area" localSheetId="0">доходы!$A$1:$J$66</definedName>
    <definedName name="_xlnm.Print_Area" localSheetId="1">исполнение!$A$1:$D$72</definedName>
  </definedNames>
  <calcPr calcId="124519"/>
</workbook>
</file>

<file path=xl/calcChain.xml><?xml version="1.0" encoding="utf-8"?>
<calcChain xmlns="http://schemas.openxmlformats.org/spreadsheetml/2006/main">
  <c r="H5" i="2"/>
  <c r="B7"/>
  <c r="C7"/>
  <c r="D7"/>
  <c r="E7"/>
  <c r="G7"/>
  <c r="D8"/>
  <c r="F8"/>
  <c r="F7" s="1"/>
  <c r="I8"/>
  <c r="D9"/>
  <c r="F9"/>
  <c r="J9" s="1"/>
  <c r="I9"/>
  <c r="B10"/>
  <c r="C10"/>
  <c r="E10"/>
  <c r="G10"/>
  <c r="J10" s="1"/>
  <c r="H10"/>
  <c r="F11"/>
  <c r="J11" s="1"/>
  <c r="I11"/>
  <c r="D12"/>
  <c r="J12"/>
  <c r="D13"/>
  <c r="D10" s="1"/>
  <c r="I13"/>
  <c r="J13"/>
  <c r="D14"/>
  <c r="F14"/>
  <c r="F10" s="1"/>
  <c r="I14"/>
  <c r="D16"/>
  <c r="F16"/>
  <c r="I16"/>
  <c r="J16"/>
  <c r="D17"/>
  <c r="G17"/>
  <c r="I17" s="1"/>
  <c r="J17"/>
  <c r="B18"/>
  <c r="E18"/>
  <c r="E15" s="1"/>
  <c r="E6" s="1"/>
  <c r="E5" s="1"/>
  <c r="F18"/>
  <c r="F15" s="1"/>
  <c r="G18"/>
  <c r="J18" s="1"/>
  <c r="D19"/>
  <c r="F19"/>
  <c r="J19" s="1"/>
  <c r="I19"/>
  <c r="D20"/>
  <c r="F20"/>
  <c r="J20" s="1"/>
  <c r="I20"/>
  <c r="B21"/>
  <c r="B15" s="1"/>
  <c r="C21"/>
  <c r="C15" s="1"/>
  <c r="E21"/>
  <c r="F21"/>
  <c r="G21"/>
  <c r="I21" s="1"/>
  <c r="H21"/>
  <c r="H15" s="1"/>
  <c r="H6" s="1"/>
  <c r="J21"/>
  <c r="D22"/>
  <c r="D21" s="1"/>
  <c r="F22"/>
  <c r="I22"/>
  <c r="J22"/>
  <c r="D23"/>
  <c r="F23"/>
  <c r="I23"/>
  <c r="J23"/>
  <c r="B24"/>
  <c r="C24"/>
  <c r="E24"/>
  <c r="G24"/>
  <c r="H24"/>
  <c r="I24"/>
  <c r="D25"/>
  <c r="D24" s="1"/>
  <c r="F25"/>
  <c r="I25"/>
  <c r="J25"/>
  <c r="I26"/>
  <c r="J26"/>
  <c r="D27"/>
  <c r="F27"/>
  <c r="J27" s="1"/>
  <c r="I27"/>
  <c r="D28"/>
  <c r="F28"/>
  <c r="J28" s="1"/>
  <c r="I28"/>
  <c r="F29"/>
  <c r="J29" s="1"/>
  <c r="I29"/>
  <c r="F30"/>
  <c r="I30"/>
  <c r="J30"/>
  <c r="J31"/>
  <c r="H32"/>
  <c r="I32"/>
  <c r="J32"/>
  <c r="D34"/>
  <c r="I34"/>
  <c r="J34"/>
  <c r="B35"/>
  <c r="B33" s="1"/>
  <c r="C35"/>
  <c r="C33" s="1"/>
  <c r="D35"/>
  <c r="E35"/>
  <c r="E33" s="1"/>
  <c r="G35"/>
  <c r="G33" s="1"/>
  <c r="H35"/>
  <c r="H33" s="1"/>
  <c r="I35"/>
  <c r="D36"/>
  <c r="F36"/>
  <c r="F35" s="1"/>
  <c r="F33" s="1"/>
  <c r="I36"/>
  <c r="D37"/>
  <c r="I37"/>
  <c r="J37"/>
  <c r="D38"/>
  <c r="F38"/>
  <c r="I38"/>
  <c r="J38"/>
  <c r="F39"/>
  <c r="I39"/>
  <c r="J39"/>
  <c r="D40"/>
  <c r="F40"/>
  <c r="I40"/>
  <c r="J40"/>
  <c r="D41"/>
  <c r="F41"/>
  <c r="I41"/>
  <c r="J41"/>
  <c r="D42"/>
  <c r="I42"/>
  <c r="J42"/>
  <c r="D43"/>
  <c r="F43"/>
  <c r="G43"/>
  <c r="I43"/>
  <c r="J43"/>
  <c r="D44"/>
  <c r="F44"/>
  <c r="J44"/>
  <c r="D45"/>
  <c r="I45"/>
  <c r="J45"/>
  <c r="D46"/>
  <c r="I46"/>
  <c r="J46"/>
  <c r="F47"/>
  <c r="I47"/>
  <c r="J47"/>
  <c r="D48"/>
  <c r="F48"/>
  <c r="I48"/>
  <c r="J48"/>
  <c r="D49"/>
  <c r="F49"/>
  <c r="J49"/>
  <c r="D50"/>
  <c r="I50"/>
  <c r="J50"/>
  <c r="I51"/>
  <c r="J51"/>
  <c r="B52"/>
  <c r="F52"/>
  <c r="G52"/>
  <c r="D52" s="1"/>
  <c r="D53"/>
  <c r="F53"/>
  <c r="J53" s="1"/>
  <c r="I53"/>
  <c r="C54"/>
  <c r="D54"/>
  <c r="E54"/>
  <c r="H54"/>
  <c r="I54"/>
  <c r="J54"/>
  <c r="F55"/>
  <c r="J55" s="1"/>
  <c r="I55"/>
  <c r="I56"/>
  <c r="J56"/>
  <c r="F57"/>
  <c r="I57"/>
  <c r="J57"/>
  <c r="D58"/>
  <c r="F58"/>
  <c r="I58"/>
  <c r="J58"/>
  <c r="D59"/>
  <c r="I59"/>
  <c r="J59"/>
  <c r="D60"/>
  <c r="I60"/>
  <c r="J60"/>
  <c r="D61"/>
  <c r="J61"/>
  <c r="D62"/>
  <c r="G62"/>
  <c r="I62" s="1"/>
  <c r="J62"/>
  <c r="D63"/>
  <c r="G63"/>
  <c r="I63" s="1"/>
  <c r="J63"/>
  <c r="D64"/>
  <c r="G64"/>
  <c r="I64" s="1"/>
  <c r="J64"/>
  <c r="J65"/>
  <c r="D66"/>
  <c r="J66"/>
  <c r="D12" i="1"/>
  <c r="C66"/>
  <c r="D15" i="2" l="1"/>
  <c r="D6" s="1"/>
  <c r="D5" s="1"/>
  <c r="B6"/>
  <c r="B5" s="1"/>
  <c r="J33"/>
  <c r="I33"/>
  <c r="D33"/>
  <c r="F6"/>
  <c r="F5" s="1"/>
  <c r="C6"/>
  <c r="C5" s="1"/>
  <c r="I52"/>
  <c r="F24"/>
  <c r="J24" s="1"/>
  <c r="G15"/>
  <c r="I7"/>
  <c r="J52"/>
  <c r="J36"/>
  <c r="J35"/>
  <c r="I18"/>
  <c r="D18"/>
  <c r="I10"/>
  <c r="J8"/>
  <c r="J7"/>
  <c r="J14"/>
  <c r="D50" i="1"/>
  <c r="I15" i="2" l="1"/>
  <c r="J15"/>
  <c r="G6"/>
  <c r="G5" l="1"/>
  <c r="J6"/>
  <c r="I6"/>
  <c r="C61" i="1"/>
  <c r="I5" i="2" l="1"/>
  <c r="J5"/>
  <c r="C5" i="1"/>
  <c r="C4" s="1"/>
  <c r="D9" l="1"/>
  <c r="B5"/>
  <c r="B4" s="1"/>
  <c r="B66"/>
  <c r="B61"/>
  <c r="C58"/>
  <c r="C57" s="1"/>
  <c r="B58"/>
  <c r="B57" s="1"/>
  <c r="C53"/>
  <c r="B53"/>
  <c r="D52"/>
  <c r="D51"/>
  <c r="C49"/>
  <c r="B49"/>
  <c r="D48"/>
  <c r="D47"/>
  <c r="D46"/>
  <c r="D45"/>
  <c r="C44"/>
  <c r="B44"/>
  <c r="D43"/>
  <c r="D42"/>
  <c r="C40"/>
  <c r="B40"/>
  <c r="D39"/>
  <c r="D38"/>
  <c r="C37"/>
  <c r="B37"/>
  <c r="D36"/>
  <c r="D35"/>
  <c r="C34"/>
  <c r="B34"/>
  <c r="D33"/>
  <c r="D32"/>
  <c r="D31"/>
  <c r="D30"/>
  <c r="C29"/>
  <c r="B29"/>
  <c r="D28"/>
  <c r="D27"/>
  <c r="C26"/>
  <c r="B26"/>
  <c r="D25"/>
  <c r="C23"/>
  <c r="B23"/>
  <c r="D22"/>
  <c r="D21"/>
  <c r="D20"/>
  <c r="C18"/>
  <c r="B18"/>
  <c r="D17"/>
  <c r="D14"/>
  <c r="C13"/>
  <c r="D8"/>
  <c r="D7"/>
  <c r="D6"/>
  <c r="C55" l="1"/>
  <c r="B13"/>
  <c r="D13" s="1"/>
  <c r="D40"/>
  <c r="D34"/>
  <c r="D44"/>
  <c r="D23"/>
  <c r="D49"/>
  <c r="D18"/>
  <c r="D53"/>
  <c r="D26"/>
  <c r="D37"/>
  <c r="D29"/>
  <c r="D5"/>
  <c r="D4" l="1"/>
</calcChain>
</file>

<file path=xl/sharedStrings.xml><?xml version="1.0" encoding="utf-8"?>
<sst xmlns="http://schemas.openxmlformats.org/spreadsheetml/2006/main" count="146" uniqueCount="127">
  <si>
    <t>Наименование</t>
  </si>
  <si>
    <t xml:space="preserve">% исполнения </t>
  </si>
  <si>
    <t>Доходы (налоговые и неналоговые)</t>
  </si>
  <si>
    <t>Субвенции</t>
  </si>
  <si>
    <t>Субсидии</t>
  </si>
  <si>
    <t xml:space="preserve">Всего доходов </t>
  </si>
  <si>
    <t>РАСХОДЫ</t>
  </si>
  <si>
    <t>ОБЩЕГОСУДАРСТВЕННЫЕ 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</si>
  <si>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</si>
  <si>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</si>
  <si>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</si>
  <si>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</si>
  <si>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субсидии из ФСР</t>
  </si>
  <si>
    <t>ОХРАНА ОКРУЖАЮЩЕЙ СРЕДЫ</t>
  </si>
  <si>
    <t>ОБРАЗОВАНИЕ</t>
  </si>
  <si>
    <t>за счет средств бюджета города</t>
  </si>
  <si>
    <t>СОЦИАЛЬНАЯ ПОЛИТИКА</t>
  </si>
  <si>
    <t>ВСЕГО РАСХОДОВ:</t>
  </si>
  <si>
    <t>Дефицит / профицит</t>
  </si>
  <si>
    <t>Источники финансирования дефицита бюджета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</si>
  <si>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</si>
  <si>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</si>
  <si>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КУЛЬТУРА И КИНЕМАТОГРАФИЯ </t>
  </si>
  <si>
    <t xml:space="preserve">ЗДРАВООХРАНЕНИЕ </t>
  </si>
  <si>
    <t>ФИЗИЧЕСКАЯ КУЛЬТУРА И СПОРТ</t>
  </si>
  <si>
    <t>Расходы на строительство объекта-крытый каток с искусственным льдом (бюджет города)</t>
  </si>
  <si>
    <t>Расходы на строительство объекта-ФОК (бюджет города)</t>
  </si>
  <si>
    <t>СРЕДСТВА МАССОВОЙ ИНФОРМАЦИИ</t>
  </si>
  <si>
    <t>ОБСЛУЖИВАНИЕ ГОСУДАРСТВЕННОГО И МУНИЦИПАЛЬНОГО ДОЛГА</t>
  </si>
  <si>
    <t>Средства от продажи акций и иных форм участия в капитале, находяшихся в собственности городских округов</t>
  </si>
  <si>
    <t>Бюджетный кредит</t>
  </si>
  <si>
    <t>за счет средств безвозмездных поступлений</t>
  </si>
  <si>
    <t>за счет средств бюджета города, в т.ч.</t>
  </si>
  <si>
    <t>резервный фонд</t>
  </si>
  <si>
    <t xml:space="preserve">                Бюджетные кредиты от других бюджетов в т.ч.</t>
  </si>
  <si>
    <t xml:space="preserve"> получение кредитов от других бюджетов </t>
  </si>
  <si>
    <t>погашение бюджетами городских округов кредитов от других бюджетов</t>
  </si>
  <si>
    <t>Кредиты кредитных организаций в т.ч.</t>
  </si>
  <si>
    <t xml:space="preserve"> получение кредитов от кредитных организаций</t>
  </si>
  <si>
    <t>погашение бюджетами городских округов кредитов от кредитных организаций</t>
  </si>
  <si>
    <t>тыс. рублей</t>
  </si>
  <si>
    <t>расходы на благоустройство
(озеленение, освещение, прочие)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</si>
  <si>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</si>
  <si>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Безвозмездные поступления</t>
  </si>
  <si>
    <t xml:space="preserve">Изменение остатков </t>
  </si>
  <si>
    <t>Дотации</t>
  </si>
  <si>
    <t>Прочие безвозмездные поступления в бюджеты городских округов</t>
  </si>
  <si>
    <t>Иные источники внутреннего финансирования дефицитов бюджетов (операции по управлению остатками средств на единых счетах бюджетов)</t>
  </si>
  <si>
    <t>Перечисления из бюджетов городских округов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</si>
  <si>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План на 
2024 год</t>
  </si>
  <si>
    <t>Н.Н. Протасова</t>
  </si>
  <si>
    <t>Заместитель главы Администрации города Таганрога - 
начальник Финансового управления г. Таганрога</t>
  </si>
  <si>
    <t>Исполнено на 01.12.2024</t>
  </si>
  <si>
    <t xml:space="preserve">                ИСПОЛНЕНИЕ БЮДЖЕТА  ГОРОДА ТАГАНРОГА НА 1 ДЕКАБРЯ 2024</t>
  </si>
  <si>
    <t>Невыясненные поступления</t>
  </si>
  <si>
    <t>Прочие неналоговые доходы</t>
  </si>
  <si>
    <t>Суммы по искам о возмещении вреда, причиненного окружающей среде</t>
  </si>
  <si>
    <t xml:space="preserve"> платежи на инфраструктуру города</t>
  </si>
  <si>
    <t xml:space="preserve">Прочие неналоговые доходы </t>
  </si>
  <si>
    <t>Инициативные платежи</t>
  </si>
  <si>
    <t>Поступления сумм в возмещение вреда, причиненного автомобильным дорогам</t>
  </si>
  <si>
    <t>Денежные взыскания (штрафы) за нарушение правил перевозки крупногабаритных грузов</t>
  </si>
  <si>
    <t>Штрафы, санкции,  возмещение ущерба</t>
  </si>
  <si>
    <t>Доходы от приватизации имущества</t>
  </si>
  <si>
    <t>Доходы от продажи земельных участков, находящихся в собственности 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</si>
  <si>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</si>
  <si>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</t>
  </si>
  <si>
    <t>Плата за увеличение площади земельных участков</t>
  </si>
  <si>
    <t>Доходы от реализации  имущества, (в части реализации материальных запасов по указанному имуществу)</t>
  </si>
  <si>
    <t>Доходы от реализации иного имущества, находящегося в  собственности городских округов (в части реализации основных средств по указанному имуществу)</t>
  </si>
  <si>
    <t>Доходы от продажи квартир, находящихся в собственности городских округов</t>
  </si>
  <si>
    <t>св.200</t>
  </si>
  <si>
    <t>Прочие доходы от компенсации затрат бюджетов</t>
  </si>
  <si>
    <t>Доходы, поступающие в порядке возмещения расходов</t>
  </si>
  <si>
    <t xml:space="preserve">Доходы от оказания платных услуг </t>
  </si>
  <si>
    <t xml:space="preserve">Прочие доходы от оказания платных услуг (работ) получателями средств бюджетов городских округов </t>
  </si>
  <si>
    <t>Сборы за выдачу органами местного самоуправления лицензий на розничную продажу алкогольной продукции…</t>
  </si>
  <si>
    <t>Плата за негативное воздействие на окружающую среду</t>
  </si>
  <si>
    <t>Прочие поступления от использования имущества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</si>
  <si>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</t>
  </si>
  <si>
    <t>Плата по соглашениям об установлении сервитута</t>
  </si>
  <si>
    <t>Доходы от сдачи в аренду имущества, составляющего казну городских округов (за исключением земельных участков)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</si>
  <si>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</t>
  </si>
  <si>
    <t xml:space="preserve"> Доходы, получаемые в виде арендной платы , а также средства от продажи права на заключение договоров аренды за земли, находящиеся в собственности городских округов</t>
  </si>
  <si>
    <t xml:space="preserve"> Доходы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округов, а также средства от продажи права на заключение договоров аренды указанных зем. участков</t>
  </si>
  <si>
    <t xml:space="preserve"> Доходы, получаемые в виде арендной платы за земельные участки государственная собственность на которые не разграничена, и которые расположены в границах гор. округов...</t>
  </si>
  <si>
    <t>Доходы от сдачи в аренду имущества, находящегося в государственной и муниципальной собственности</t>
  </si>
  <si>
    <t xml:space="preserve">  Дивиденды по акциям и доходы от прочих форм участия в капитале, находящихся в собственности городских округов</t>
  </si>
  <si>
    <t>Неналоговые доходы</t>
  </si>
  <si>
    <t>Задолженность и перерасчеты по отмененным налогам, сборам</t>
  </si>
  <si>
    <t>Государственная пошлина за выдачу разрешения на установку рекламных конструкций</t>
  </si>
  <si>
    <t>Государственная пошлина за выдачу и обмен паспорта гражданина Российской Федерации</t>
  </si>
  <si>
    <t xml:space="preserve">Государственная пошлина за государственную регистрацию транспортных средств и иные юридически значимые действия 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</si>
  <si>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</si>
  <si>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 xml:space="preserve"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</t>
  </si>
  <si>
    <t>Государственная пошлина за государственную регистрацию юр. лиц, физ. лиц в качестве ИП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</si>
  <si>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</si>
  <si>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</t>
  </si>
  <si>
    <t>Земельный налог с физических лиц</t>
  </si>
  <si>
    <t>Земельный налог с организаций</t>
  </si>
  <si>
    <t xml:space="preserve"> Земельный налог </t>
  </si>
  <si>
    <t>Транспортный налог с физ.лиц</t>
  </si>
  <si>
    <t>Транспортный налог с организаций</t>
  </si>
  <si>
    <t>Транспортный налог</t>
  </si>
  <si>
    <t>Налог на имущество организаций</t>
  </si>
  <si>
    <t>Налог на имущество физических лиц, зачисляемый в  бюджеты городских округов</t>
  </si>
  <si>
    <t>Налоги на имущество</t>
  </si>
  <si>
    <t>Налог, взимаемый в связи с применением патентной системы налогообложения</t>
  </si>
  <si>
    <t>Единый сельскохозяйственный налог</t>
  </si>
  <si>
    <t xml:space="preserve">Единый налог на вмененный доход 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</si>
  <si>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</si>
  <si>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</si>
  <si>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</t>
  </si>
  <si>
    <t>Налог на доходы физических лиц</t>
  </si>
  <si>
    <t>Налоги на прибыль, доходы</t>
  </si>
  <si>
    <t>Налоговые доходы</t>
  </si>
  <si>
    <t>ИТОГО СОБСТВЕННЫЕ ДОХОДЫ</t>
  </si>
  <si>
    <t>отклонение</t>
  </si>
  <si>
    <t>% 
исполнения</t>
  </si>
  <si>
    <t>в том числе за 13.01.06г.</t>
  </si>
  <si>
    <t xml:space="preserve">Исполнено </t>
  </si>
  <si>
    <t>План на 01.12.2024</t>
  </si>
  <si>
    <t xml:space="preserve">Исполнено на 31.01.14г. </t>
  </si>
  <si>
    <t>план 1 квартала</t>
  </si>
  <si>
    <t>Наименование доходов</t>
  </si>
  <si>
    <t>тыс.рублей</t>
  </si>
  <si>
    <t xml:space="preserve"> Исполнение бюджета г. Таганрога по налоговым и неналоговым доходам на 01.12.2024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</si>
</sst>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6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Arial Cyr"/>
      <family val="2"/>
      <charset val="204"/>
    </font>
    <font>
      <sz val="36"/>
      <name val="Arial Cyr"/>
      <family val="2"/>
      <charset val="204"/>
    </font>
    <font>
      <sz val="32"/>
      <name val="Arial Cyr"/>
      <family val="2"/>
      <charset val="204"/>
    </font>
    <font>
      <i/>
      <sz val="20"/>
      <name val="Arial Cyr"/>
      <family val="2"/>
      <charset val="204"/>
    </font>
    <font>
      <i/>
      <sz val="20"/>
      <name val="Times New Roman"/>
      <family val="1"/>
    </font>
    <font>
      <i/>
      <sz val="36"/>
      <name val="Times New Roman"/>
      <family val="1"/>
    </font>
    <font>
      <b/>
      <sz val="48"/>
      <name val="Times New Roman"/>
      <family val="1"/>
    </font>
    <font>
      <b/>
      <i/>
      <sz val="48"/>
      <name val="Times New Roman"/>
      <family val="1"/>
    </font>
    <font>
      <sz val="48"/>
      <name val="Times New Roman"/>
      <family val="1"/>
    </font>
    <font>
      <i/>
      <sz val="48"/>
      <name val="Times New Roman"/>
      <family val="1"/>
    </font>
    <font>
      <sz val="20"/>
      <name val="Arial Cyr"/>
      <family val="2"/>
      <charset val="204"/>
    </font>
    <font>
      <sz val="20"/>
      <name val="Times New Roman"/>
      <family val="1"/>
    </font>
    <font>
      <sz val="36"/>
      <name val="Times New Roman"/>
      <family val="1"/>
    </font>
    <font>
      <sz val="48"/>
      <name val="Times New Roman"/>
      <family val="1"/>
      <charset val="204"/>
    </font>
    <font>
      <i/>
      <sz val="36"/>
      <name val="Times New Roman"/>
      <family val="1"/>
      <charset val="204"/>
    </font>
    <font>
      <i/>
      <sz val="48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36"/>
      <name val="Times New Roman"/>
      <family val="1"/>
    </font>
    <font>
      <i/>
      <sz val="20"/>
      <name val="Times New Roman"/>
      <family val="1"/>
      <charset val="204"/>
    </font>
    <font>
      <b/>
      <sz val="20"/>
      <name val="Times New Roman"/>
      <family val="1"/>
    </font>
    <font>
      <b/>
      <i/>
      <sz val="48"/>
      <name val="Times New Roman"/>
      <family val="1"/>
      <charset val="204"/>
    </font>
    <font>
      <sz val="20"/>
      <name val="Times New Roman"/>
      <family val="1"/>
      <charset val="204"/>
    </font>
    <font>
      <b/>
      <sz val="36"/>
      <name val="Times New Roman"/>
      <family val="1"/>
      <charset val="204"/>
    </font>
    <font>
      <sz val="30"/>
      <name val="Arial Cyr"/>
      <family val="2"/>
      <charset val="204"/>
    </font>
    <font>
      <sz val="30"/>
      <name val="Times New Roman"/>
      <family val="1"/>
    </font>
    <font>
      <sz val="18"/>
      <name val="Arial Cyr"/>
      <family val="2"/>
      <charset val="204"/>
    </font>
    <font>
      <b/>
      <sz val="18"/>
      <name val="Palatino Linotype"/>
      <family val="1"/>
      <charset val="204"/>
    </font>
    <font>
      <b/>
      <sz val="36"/>
      <name val="Palatino Linotype"/>
      <family val="1"/>
      <charset val="204"/>
    </font>
    <font>
      <b/>
      <sz val="42"/>
      <name val="Palatino Linotype"/>
      <family val="1"/>
      <charset val="204"/>
    </font>
    <font>
      <b/>
      <sz val="48"/>
      <name val="Palatino Linotype"/>
      <family val="1"/>
      <charset val="204"/>
    </font>
    <font>
      <b/>
      <i/>
      <sz val="35"/>
      <name val="Constantia"/>
      <family val="1"/>
      <charset val="204"/>
    </font>
    <font>
      <b/>
      <i/>
      <sz val="32"/>
      <name val="Constantia"/>
      <family val="1"/>
      <charset val="204"/>
    </font>
    <font>
      <b/>
      <sz val="6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rgb="FFFFFF00"/>
        <bgColor indexed="27"/>
      </patternFill>
    </fill>
    <fill>
      <patternFill patternType="solid">
        <fgColor rgb="FFDFF9E2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7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49">
    <xf numFmtId="0" fontId="0" fillId="0" borderId="0" xfId="0"/>
    <xf numFmtId="0" fontId="0" fillId="0" borderId="0" xfId="0" applyFont="1"/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0" fontId="6" fillId="0" borderId="0" xfId="0" applyFont="1"/>
    <xf numFmtId="164" fontId="0" fillId="0" borderId="0" xfId="0" applyNumberFormat="1" applyFont="1"/>
    <xf numFmtId="0" fontId="0" fillId="0" borderId="0" xfId="0" applyFont="1" applyFill="1"/>
    <xf numFmtId="49" fontId="0" fillId="0" borderId="0" xfId="0" applyNumberFormat="1" applyFont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7" fillId="0" borderId="0" xfId="0" applyFont="1"/>
    <xf numFmtId="165" fontId="3" fillId="0" borderId="0" xfId="0" applyNumberFormat="1" applyFont="1"/>
    <xf numFmtId="49" fontId="4" fillId="0" borderId="0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vertical="center"/>
    </xf>
    <xf numFmtId="1" fontId="10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vertical="center"/>
    </xf>
    <xf numFmtId="164" fontId="1" fillId="0" borderId="3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vertical="center"/>
    </xf>
    <xf numFmtId="164" fontId="10" fillId="0" borderId="6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horizontal="center" vertical="center"/>
    </xf>
    <xf numFmtId="1" fontId="1" fillId="2" borderId="1" xfId="0" applyNumberFormat="1" applyFont="1" applyFill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9" fillId="0" borderId="0" xfId="0" applyFont="1"/>
    <xf numFmtId="165" fontId="1" fillId="0" borderId="0" xfId="0" applyNumberFormat="1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0" fillId="0" borderId="7" xfId="0" applyNumberFormat="1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2" fillId="0" borderId="0" xfId="0" applyFont="1" applyBorder="1"/>
    <xf numFmtId="0" fontId="13" fillId="0" borderId="0" xfId="0" applyFont="1" applyBorder="1"/>
    <xf numFmtId="0" fontId="14" fillId="0" borderId="0" xfId="0" applyFont="1" applyBorder="1"/>
    <xf numFmtId="0" fontId="15" fillId="0" borderId="0" xfId="0" applyFont="1"/>
    <xf numFmtId="0" fontId="15" fillId="2" borderId="0" xfId="0" applyFont="1" applyFill="1"/>
    <xf numFmtId="4" fontId="15" fillId="0" borderId="0" xfId="0" applyNumberFormat="1" applyFont="1"/>
    <xf numFmtId="4" fontId="15" fillId="2" borderId="0" xfId="0" applyNumberFormat="1" applyFont="1" applyFill="1"/>
    <xf numFmtId="0" fontId="16" fillId="0" borderId="0" xfId="0" applyFont="1"/>
    <xf numFmtId="0" fontId="16" fillId="0" borderId="0" xfId="0" applyFont="1" applyBorder="1"/>
    <xf numFmtId="165" fontId="17" fillId="0" borderId="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Border="1" applyAlignment="1">
      <alignment horizontal="center" vertical="center" wrapText="1"/>
    </xf>
    <xf numFmtId="165" fontId="19" fillId="5" borderId="5" xfId="0" applyNumberFormat="1" applyFont="1" applyFill="1" applyBorder="1" applyAlignment="1">
      <alignment horizontal="center" vertical="center" wrapText="1"/>
    </xf>
    <xf numFmtId="165" fontId="19" fillId="5" borderId="8" xfId="0" applyNumberFormat="1" applyFont="1" applyFill="1" applyBorder="1" applyAlignment="1">
      <alignment horizontal="center" vertical="center" wrapText="1"/>
    </xf>
    <xf numFmtId="165" fontId="20" fillId="6" borderId="8" xfId="0" applyNumberFormat="1" applyFont="1" applyFill="1" applyBorder="1" applyAlignment="1">
      <alignment horizontal="center" vertical="center" wrapText="1"/>
    </xf>
    <xf numFmtId="165" fontId="21" fillId="5" borderId="8" xfId="0" applyNumberFormat="1" applyFont="1" applyFill="1" applyBorder="1" applyAlignment="1">
      <alignment horizontal="center" vertical="center" wrapText="1"/>
    </xf>
    <xf numFmtId="165" fontId="22" fillId="0" borderId="8" xfId="0" applyNumberFormat="1" applyFont="1" applyFill="1" applyBorder="1" applyAlignment="1">
      <alignment horizontal="center" vertical="center" wrapText="1"/>
    </xf>
    <xf numFmtId="165" fontId="19" fillId="2" borderId="8" xfId="0" applyNumberFormat="1" applyFont="1" applyFill="1" applyBorder="1" applyAlignment="1">
      <alignment horizontal="center" vertical="center" wrapText="1"/>
    </xf>
    <xf numFmtId="165" fontId="21" fillId="2" borderId="8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0" fillId="0" borderId="8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Border="1"/>
    <xf numFmtId="165" fontId="24" fillId="0" borderId="0" xfId="0" applyNumberFormat="1" applyFont="1" applyFill="1" applyBorder="1" applyAlignment="1">
      <alignment horizontal="center" vertical="center" wrapText="1"/>
    </xf>
    <xf numFmtId="165" fontId="25" fillId="0" borderId="0" xfId="0" applyNumberFormat="1" applyFont="1" applyFill="1" applyBorder="1" applyAlignment="1">
      <alignment horizontal="center" vertical="center" wrapText="1"/>
    </xf>
    <xf numFmtId="165" fontId="19" fillId="0" borderId="8" xfId="0" applyNumberFormat="1" applyFont="1" applyFill="1" applyBorder="1" applyAlignment="1">
      <alignment horizontal="center" vertical="center" wrapText="1"/>
    </xf>
    <xf numFmtId="165" fontId="21" fillId="0" borderId="8" xfId="0" applyNumberFormat="1" applyFont="1" applyFill="1" applyBorder="1" applyAlignment="1">
      <alignment horizontal="center" vertical="center" wrapText="1"/>
    </xf>
    <xf numFmtId="165" fontId="26" fillId="6" borderId="8" xfId="0" applyNumberFormat="1" applyFont="1" applyFill="1" applyBorder="1" applyAlignment="1">
      <alignment horizontal="center" vertical="center" wrapText="1"/>
    </xf>
    <xf numFmtId="165" fontId="26" fillId="5" borderId="8" xfId="0" applyNumberFormat="1" applyFont="1" applyFill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 wrapText="1"/>
    </xf>
    <xf numFmtId="165" fontId="28" fillId="6" borderId="8" xfId="0" applyNumberFormat="1" applyFont="1" applyFill="1" applyBorder="1" applyAlignment="1">
      <alignment horizontal="center" vertical="center" wrapText="1"/>
    </xf>
    <xf numFmtId="165" fontId="28" fillId="0" borderId="8" xfId="0" applyNumberFormat="1" applyFont="1" applyFill="1" applyBorder="1" applyAlignment="1">
      <alignment horizontal="center" vertical="center" wrapText="1"/>
    </xf>
    <xf numFmtId="165" fontId="28" fillId="2" borderId="8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165" fontId="26" fillId="0" borderId="8" xfId="0" applyNumberFormat="1" applyFont="1" applyFill="1" applyBorder="1" applyAlignment="1">
      <alignment horizontal="center" vertical="center" wrapText="1"/>
    </xf>
    <xf numFmtId="165" fontId="29" fillId="2" borderId="8" xfId="0" applyNumberFormat="1" applyFont="1" applyFill="1" applyBorder="1" applyAlignment="1">
      <alignment horizontal="center" vertical="center" wrapText="1"/>
    </xf>
    <xf numFmtId="165" fontId="26" fillId="2" borderId="8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5" borderId="8" xfId="0" applyNumberFormat="1" applyFont="1" applyFill="1" applyBorder="1" applyAlignment="1">
      <alignment horizontal="center" vertical="center" wrapText="1"/>
    </xf>
    <xf numFmtId="165" fontId="20" fillId="2" borderId="8" xfId="0" applyNumberFormat="1" applyFont="1" applyFill="1" applyBorder="1" applyAlignment="1">
      <alignment horizontal="center" vertical="center" wrapText="1"/>
    </xf>
    <xf numFmtId="165" fontId="22" fillId="2" borderId="8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Fill="1" applyBorder="1" applyAlignment="1">
      <alignment horizontal="center" vertical="center" wrapText="1"/>
    </xf>
    <xf numFmtId="165" fontId="19" fillId="6" borderId="8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5" fontId="30" fillId="2" borderId="0" xfId="0" applyNumberFormat="1" applyFont="1" applyFill="1" applyBorder="1" applyAlignment="1">
      <alignment horizontal="center" vertical="center" wrapText="1"/>
    </xf>
    <xf numFmtId="165" fontId="19" fillId="7" borderId="5" xfId="0" applyNumberFormat="1" applyFont="1" applyFill="1" applyBorder="1" applyAlignment="1">
      <alignment horizontal="center" vertical="center" wrapText="1"/>
    </xf>
    <xf numFmtId="165" fontId="19" fillId="7" borderId="8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5" fontId="33" fillId="2" borderId="8" xfId="0" applyNumberFormat="1" applyFont="1" applyFill="1" applyBorder="1" applyAlignment="1">
      <alignment horizontal="center" vertical="center" wrapText="1"/>
    </xf>
    <xf numFmtId="165" fontId="22" fillId="6" borderId="8" xfId="0" applyNumberFormat="1" applyFont="1" applyFill="1" applyBorder="1" applyAlignment="1">
      <alignment horizontal="center" vertical="center" wrapText="1"/>
    </xf>
    <xf numFmtId="165" fontId="22" fillId="5" borderId="8" xfId="0" applyNumberFormat="1" applyFont="1" applyFill="1" applyBorder="1" applyAlignment="1">
      <alignment horizontal="center" vertical="center" wrapText="1"/>
    </xf>
    <xf numFmtId="165" fontId="22" fillId="0" borderId="9" xfId="0" applyNumberFormat="1" applyFont="1" applyFill="1" applyBorder="1" applyAlignment="1">
      <alignment horizontal="center" vertical="center" wrapText="1"/>
    </xf>
    <xf numFmtId="165" fontId="34" fillId="0" borderId="0" xfId="0" applyNumberFormat="1" applyFont="1" applyFill="1" applyBorder="1" applyAlignment="1">
      <alignment horizontal="center" vertical="center" wrapText="1"/>
    </xf>
    <xf numFmtId="165" fontId="21" fillId="0" borderId="9" xfId="0" applyNumberFormat="1" applyFont="1" applyFill="1" applyBorder="1" applyAlignment="1">
      <alignment horizontal="center" vertical="center" wrapText="1"/>
    </xf>
    <xf numFmtId="165" fontId="21" fillId="6" borderId="8" xfId="0" applyNumberFormat="1" applyFont="1" applyFill="1" applyBorder="1" applyAlignment="1">
      <alignment horizontal="center" vertical="center" wrapText="1"/>
    </xf>
    <xf numFmtId="165" fontId="35" fillId="0" borderId="0" xfId="0" applyNumberFormat="1" applyFont="1" applyFill="1" applyBorder="1" applyAlignment="1">
      <alignment horizontal="center" vertical="center" wrapText="1"/>
    </xf>
    <xf numFmtId="165" fontId="29" fillId="6" borderId="8" xfId="0" applyNumberFormat="1" applyFont="1" applyFill="1" applyBorder="1" applyAlignment="1">
      <alignment horizontal="center" vertical="center" wrapText="1"/>
    </xf>
    <xf numFmtId="165" fontId="29" fillId="5" borderId="8" xfId="0" applyNumberFormat="1" applyFont="1" applyFill="1" applyBorder="1" applyAlignment="1">
      <alignment horizontal="center" vertical="center" wrapText="1"/>
    </xf>
    <xf numFmtId="165" fontId="29" fillId="0" borderId="8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165" fontId="32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0" xfId="0" applyFont="1" applyBorder="1"/>
    <xf numFmtId="0" fontId="37" fillId="0" borderId="0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8" fillId="0" borderId="0" xfId="0" applyFont="1"/>
    <xf numFmtId="0" fontId="38" fillId="0" borderId="0" xfId="0" applyFont="1" applyBorder="1"/>
    <xf numFmtId="164" fontId="39" fillId="2" borderId="0" xfId="0" applyNumberFormat="1" applyFont="1" applyFill="1" applyBorder="1" applyAlignment="1">
      <alignment horizontal="center" vertical="center" wrapText="1"/>
    </xf>
    <xf numFmtId="164" fontId="40" fillId="2" borderId="0" xfId="0" applyNumberFormat="1" applyFont="1" applyFill="1" applyBorder="1" applyAlignment="1">
      <alignment horizontal="center" vertical="center" wrapText="1"/>
    </xf>
    <xf numFmtId="164" fontId="41" fillId="7" borderId="5" xfId="0" applyNumberFormat="1" applyFont="1" applyFill="1" applyBorder="1" applyAlignment="1">
      <alignment horizontal="center" vertical="center" wrapText="1"/>
    </xf>
    <xf numFmtId="0" fontId="42" fillId="7" borderId="5" xfId="0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top"/>
    </xf>
    <xf numFmtId="0" fontId="44" fillId="0" borderId="0" xfId="0" applyFont="1" applyBorder="1" applyAlignment="1">
      <alignment horizontal="center" vertical="top"/>
    </xf>
    <xf numFmtId="0" fontId="45" fillId="0" borderId="0" xfId="0" applyFont="1" applyBorder="1" applyAlignment="1">
      <alignment horizontal="center" vertical="top"/>
    </xf>
    <xf numFmtId="0" fontId="45" fillId="0" borderId="0" xfId="0" applyFont="1" applyBorder="1" applyAlignment="1">
      <alignment horizontal="center" vertical="top" wrapText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A1ED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.%20&#1085;&#1072;%2001.12.2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86"/>
  <sheetViews>
    <sheetView view="pageBreakPreview" zoomScale="33" zoomScaleSheetLayoutView="33" workbookViewId="0">
      <pane xSplit="1" ySplit="1" topLeftCell="B2" activePane="bottomRight" state="frozen"/>
      <selection pane="topRight" activeCell="S1" sqref="S1"/>
      <selection pane="bottomLeft" activeCell="A49" sqref="A49"/>
      <selection pane="bottomRight" activeCell="N54" sqref="N54"/>
    </sheetView>
  </sheetViews>
  <sheetFormatPr defaultRowHeight="44.25"/>
  <cols>
    <col min="1" max="1" width="255.5703125" style="74" customWidth="1"/>
    <col min="2" max="2" width="81.85546875" style="74" customWidth="1"/>
    <col min="3" max="3" width="36.28515625" style="74" hidden="1" customWidth="1"/>
    <col min="4" max="4" width="47.140625" style="74" hidden="1" customWidth="1"/>
    <col min="5" max="5" width="51.85546875" style="74" hidden="1" customWidth="1"/>
    <col min="6" max="6" width="53.5703125" style="74" hidden="1" customWidth="1"/>
    <col min="7" max="7" width="77.7109375" style="74" customWidth="1"/>
    <col min="8" max="8" width="50.7109375" style="74" hidden="1" customWidth="1"/>
    <col min="9" max="9" width="76.85546875" style="74" customWidth="1"/>
    <col min="10" max="10" width="55.85546875" style="74" hidden="1" customWidth="1"/>
    <col min="11" max="11" width="31.85546875" style="73" customWidth="1"/>
    <col min="12" max="12" width="40.85546875" style="73" customWidth="1"/>
    <col min="13" max="13" width="34.28515625" style="73" customWidth="1"/>
    <col min="14" max="14" width="34.7109375" style="71" customWidth="1"/>
    <col min="15" max="15" width="34.42578125" style="71" customWidth="1"/>
    <col min="16" max="16" width="37" style="71" customWidth="1"/>
    <col min="17" max="17" width="37.5703125" style="71" customWidth="1"/>
    <col min="18" max="18" width="40" style="71" customWidth="1"/>
    <col min="19" max="19" width="41.28515625" style="71" customWidth="1"/>
    <col min="20" max="20" width="36.140625" style="71" customWidth="1"/>
    <col min="21" max="21" width="33.7109375" style="71" customWidth="1"/>
    <col min="22" max="22" width="36.85546875" style="71" customWidth="1"/>
    <col min="23" max="23" width="35.7109375" style="72" customWidth="1"/>
    <col min="24" max="24" width="31.85546875" style="72" customWidth="1"/>
    <col min="25" max="25" width="40.85546875" style="72" customWidth="1"/>
    <col min="26" max="26" width="39.140625" style="72" customWidth="1"/>
    <col min="27" max="27" width="32" style="72" customWidth="1"/>
    <col min="28" max="28" width="30.85546875" style="71" customWidth="1"/>
    <col min="29" max="29" width="37.5703125" style="71" customWidth="1"/>
    <col min="30" max="30" width="31.5703125" style="71" customWidth="1"/>
    <col min="31" max="31" width="37.28515625" style="71" customWidth="1"/>
    <col min="32" max="32" width="35.28515625" style="71" customWidth="1"/>
    <col min="33" max="33" width="33" style="71" customWidth="1"/>
    <col min="34" max="34" width="19" style="71" customWidth="1"/>
    <col min="35" max="35" width="9.140625" style="70"/>
  </cols>
  <sheetData>
    <row r="1" spans="1:35" ht="89.25" customHeight="1">
      <c r="A1" s="148" t="s">
        <v>126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35" ht="42" customHeight="1">
      <c r="A2" s="146"/>
      <c r="B2" s="146"/>
      <c r="C2" s="146"/>
      <c r="D2" s="146"/>
      <c r="E2" s="146"/>
      <c r="F2" s="146"/>
      <c r="G2" s="146"/>
      <c r="H2" s="146"/>
      <c r="I2" s="146" t="s">
        <v>40</v>
      </c>
      <c r="J2" s="145" t="s">
        <v>125</v>
      </c>
    </row>
    <row r="3" spans="1:35" s="139" customFormat="1" ht="102.75" customHeight="1">
      <c r="A3" s="144" t="s">
        <v>124</v>
      </c>
      <c r="B3" s="143" t="s">
        <v>49</v>
      </c>
      <c r="C3" s="143" t="s">
        <v>123</v>
      </c>
      <c r="D3" s="143" t="s">
        <v>122</v>
      </c>
      <c r="E3" s="143"/>
      <c r="F3" s="143" t="s">
        <v>121</v>
      </c>
      <c r="G3" s="143" t="s">
        <v>120</v>
      </c>
      <c r="H3" s="143" t="s">
        <v>119</v>
      </c>
      <c r="I3" s="143" t="s">
        <v>118</v>
      </c>
      <c r="J3" s="143" t="s">
        <v>117</v>
      </c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1"/>
      <c r="AI3" s="140"/>
    </row>
    <row r="4" spans="1:35" s="134" customFormat="1" ht="38.25" customHeight="1">
      <c r="A4" s="138">
        <v>1</v>
      </c>
      <c r="B4" s="138">
        <v>2</v>
      </c>
      <c r="C4" s="138"/>
      <c r="D4" s="138">
        <v>3</v>
      </c>
      <c r="E4" s="138"/>
      <c r="F4" s="138">
        <v>3</v>
      </c>
      <c r="G4" s="138">
        <v>3</v>
      </c>
      <c r="H4" s="138">
        <v>6</v>
      </c>
      <c r="I4" s="138">
        <v>4</v>
      </c>
      <c r="J4" s="137">
        <v>6</v>
      </c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5"/>
    </row>
    <row r="5" spans="1:35" s="134" customFormat="1" ht="64.5" customHeight="1">
      <c r="A5" s="120" t="s">
        <v>116</v>
      </c>
      <c r="B5" s="119">
        <f>B6+B33</f>
        <v>3855775.9</v>
      </c>
      <c r="C5" s="119">
        <f>C6+C33</f>
        <v>186783.7</v>
      </c>
      <c r="D5" s="119">
        <f>D6+D33</f>
        <v>2952237.5000000005</v>
      </c>
      <c r="E5" s="119">
        <f>E6+E33</f>
        <v>0</v>
      </c>
      <c r="F5" s="119">
        <f>F6+F33</f>
        <v>3390659.4000000004</v>
      </c>
      <c r="G5" s="119">
        <f>G6+G33</f>
        <v>3302047.7</v>
      </c>
      <c r="H5" s="119" t="e">
        <f>#REF!+#REF!</f>
        <v>#REF!</v>
      </c>
      <c r="I5" s="119">
        <f>G5*100/B5</f>
        <v>85.638994216442924</v>
      </c>
      <c r="J5" s="118">
        <f>G5-F5</f>
        <v>-88611.700000000186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5"/>
    </row>
    <row r="6" spans="1:35" s="92" customFormat="1" ht="58.5" customHeight="1">
      <c r="A6" s="120" t="s">
        <v>115</v>
      </c>
      <c r="B6" s="119">
        <f>B7+B9+B10+B15+B24+B32</f>
        <v>3421153.8</v>
      </c>
      <c r="C6" s="119">
        <f>C7+C9+C10+C15+C24+C32</f>
        <v>149859.80000000002</v>
      </c>
      <c r="D6" s="119">
        <f>D7+D9+D10+D15+D24+D32</f>
        <v>2576546.9000000004</v>
      </c>
      <c r="E6" s="119">
        <f>E7+E9+E10+E15+E24+E32</f>
        <v>0</v>
      </c>
      <c r="F6" s="119">
        <f>F7+F9+F10+F15+F24+F32</f>
        <v>3021190.0000000005</v>
      </c>
      <c r="G6" s="119">
        <f>G7+G9+G10+G15+G24+G32</f>
        <v>2854710</v>
      </c>
      <c r="H6" s="119" t="e">
        <f>H8+H10+H15+H24+H32</f>
        <v>#REF!</v>
      </c>
      <c r="I6" s="119">
        <f>G6*100/B6</f>
        <v>83.442901631607441</v>
      </c>
      <c r="J6" s="118">
        <f>G6-F6</f>
        <v>-166480.00000000047</v>
      </c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33"/>
      <c r="AI6" s="93"/>
    </row>
    <row r="7" spans="1:35" s="92" customFormat="1" ht="73.5" customHeight="1">
      <c r="A7" s="116" t="s">
        <v>114</v>
      </c>
      <c r="B7" s="96">
        <f>B8</f>
        <v>2211577.4</v>
      </c>
      <c r="C7" s="96">
        <f>C8</f>
        <v>94149.4</v>
      </c>
      <c r="D7" s="96">
        <f>D8</f>
        <v>1823519.4</v>
      </c>
      <c r="E7" s="96">
        <f>E8</f>
        <v>0</v>
      </c>
      <c r="F7" s="96">
        <f>F8</f>
        <v>1911716</v>
      </c>
      <c r="G7" s="96">
        <f>G8</f>
        <v>1823519.4</v>
      </c>
      <c r="H7" s="115"/>
      <c r="I7" s="83">
        <f>G7*100/B7</f>
        <v>82.453338508523373</v>
      </c>
      <c r="J7" s="82">
        <f>G7-F7</f>
        <v>-88196.600000000093</v>
      </c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4"/>
      <c r="AI7" s="93"/>
    </row>
    <row r="8" spans="1:35" s="92" customFormat="1" ht="65.25" customHeight="1">
      <c r="A8" s="89" t="s">
        <v>113</v>
      </c>
      <c r="B8" s="97">
        <v>2211577.4</v>
      </c>
      <c r="C8" s="97">
        <v>94149.4</v>
      </c>
      <c r="D8" s="88">
        <f>E8+G8</f>
        <v>1823519.4</v>
      </c>
      <c r="E8" s="88"/>
      <c r="F8" s="97">
        <f>444600+440430-14314+250200+193200+191200+201200+205200</f>
        <v>1911716</v>
      </c>
      <c r="G8" s="85">
        <v>1823519.4</v>
      </c>
      <c r="H8" s="127"/>
      <c r="I8" s="83">
        <f>G8*100/B8</f>
        <v>82.453338508523373</v>
      </c>
      <c r="J8" s="82">
        <f>G8-F8</f>
        <v>-88196.600000000093</v>
      </c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4"/>
      <c r="AI8" s="93"/>
    </row>
    <row r="9" spans="1:35" s="92" customFormat="1" ht="66.75" customHeight="1">
      <c r="A9" s="132" t="s">
        <v>112</v>
      </c>
      <c r="B9" s="131">
        <v>33997.199999999997</v>
      </c>
      <c r="C9" s="131"/>
      <c r="D9" s="106">
        <f>E9+G9</f>
        <v>33394.1</v>
      </c>
      <c r="E9" s="106"/>
      <c r="F9" s="131">
        <f>8491.4+8499-2833+5666+2833+2833-2200+3566.2+3566.2</f>
        <v>30421.800000000003</v>
      </c>
      <c r="G9" s="130">
        <v>33394.1</v>
      </c>
      <c r="H9" s="129"/>
      <c r="I9" s="83">
        <f>G9*100/B9</f>
        <v>98.226030378972396</v>
      </c>
      <c r="J9" s="82">
        <f>G9-F9</f>
        <v>2972.2999999999956</v>
      </c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95"/>
      <c r="AB9" s="95"/>
      <c r="AC9" s="95"/>
      <c r="AD9" s="95"/>
      <c r="AE9" s="95"/>
      <c r="AF9" s="95"/>
      <c r="AG9" s="95"/>
      <c r="AH9" s="94"/>
      <c r="AI9" s="93"/>
    </row>
    <row r="10" spans="1:35" s="92" customFormat="1" ht="78" customHeight="1">
      <c r="A10" s="116" t="s">
        <v>111</v>
      </c>
      <c r="B10" s="96">
        <f>B12+B13+B14+B11</f>
        <v>300474.40000000002</v>
      </c>
      <c r="C10" s="96">
        <f>C12+C13+C14+C11</f>
        <v>25211.1</v>
      </c>
      <c r="D10" s="96">
        <f>D12+D13+D14+D11</f>
        <v>67163.8</v>
      </c>
      <c r="E10" s="96">
        <f>E12+E13+E14+E11</f>
        <v>0</v>
      </c>
      <c r="F10" s="96">
        <f>F12+F13+F14+F11</f>
        <v>295474.40000000002</v>
      </c>
      <c r="G10" s="96">
        <f>G12+G13+G14+G11</f>
        <v>342739.5</v>
      </c>
      <c r="H10" s="115">
        <f>SUM(H12:H13)</f>
        <v>0</v>
      </c>
      <c r="I10" s="83">
        <f>G10*100/B10</f>
        <v>114.06612343680526</v>
      </c>
      <c r="J10" s="82">
        <f>G10-F10</f>
        <v>47265.099999999977</v>
      </c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4"/>
      <c r="AI10" s="93"/>
    </row>
    <row r="11" spans="1:35" s="92" customFormat="1" ht="112.5" customHeight="1">
      <c r="A11" s="108" t="s">
        <v>110</v>
      </c>
      <c r="B11" s="105">
        <v>241920</v>
      </c>
      <c r="C11" s="96"/>
      <c r="D11" s="96"/>
      <c r="E11" s="96"/>
      <c r="F11" s="105">
        <f>29041+110239+2955+38022.5+7000+5000+37662.5+7000</f>
        <v>236920</v>
      </c>
      <c r="G11" s="105">
        <v>275575.7</v>
      </c>
      <c r="H11" s="115"/>
      <c r="I11" s="83">
        <f>G11*100/B11</f>
        <v>113.91191302910053</v>
      </c>
      <c r="J11" s="82">
        <f>G11-F11</f>
        <v>38655.700000000012</v>
      </c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4"/>
      <c r="AI11" s="93"/>
    </row>
    <row r="12" spans="1:35" s="92" customFormat="1" ht="60" customHeight="1">
      <c r="A12" s="89" t="s">
        <v>109</v>
      </c>
      <c r="B12" s="97">
        <v>0</v>
      </c>
      <c r="C12" s="97">
        <v>25211.1</v>
      </c>
      <c r="D12" s="88">
        <f>E12+G12</f>
        <v>220.3</v>
      </c>
      <c r="E12" s="87"/>
      <c r="F12" s="97">
        <v>0</v>
      </c>
      <c r="G12" s="85">
        <v>220.3</v>
      </c>
      <c r="H12" s="127"/>
      <c r="I12" s="83">
        <v>0</v>
      </c>
      <c r="J12" s="82">
        <f>G12-F12</f>
        <v>220.3</v>
      </c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4"/>
      <c r="AI12" s="93"/>
    </row>
    <row r="13" spans="1:35" s="92" customFormat="1" ht="57.75" customHeight="1">
      <c r="A13" s="89" t="s">
        <v>108</v>
      </c>
      <c r="B13" s="97">
        <v>6266.5</v>
      </c>
      <c r="C13" s="97"/>
      <c r="D13" s="88">
        <f>E13+G13</f>
        <v>12949</v>
      </c>
      <c r="E13" s="87"/>
      <c r="F13" s="97">
        <v>6266.5</v>
      </c>
      <c r="G13" s="85">
        <v>12949</v>
      </c>
      <c r="H13" s="127"/>
      <c r="I13" s="83">
        <f>G13*100/B13</f>
        <v>206.63847442751137</v>
      </c>
      <c r="J13" s="82">
        <f>G13-F13</f>
        <v>6682.5</v>
      </c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4"/>
      <c r="AI13" s="93"/>
    </row>
    <row r="14" spans="1:35" s="92" customFormat="1" ht="93.75" customHeight="1">
      <c r="A14" s="89" t="s">
        <v>107</v>
      </c>
      <c r="B14" s="97">
        <v>52287.9</v>
      </c>
      <c r="C14" s="97"/>
      <c r="D14" s="88">
        <f>E14+G14</f>
        <v>53994.5</v>
      </c>
      <c r="E14" s="87"/>
      <c r="F14" s="97">
        <f>29441+18458.9+3000+500+400+488</f>
        <v>52287.9</v>
      </c>
      <c r="G14" s="85">
        <v>53994.5</v>
      </c>
      <c r="H14" s="127"/>
      <c r="I14" s="83">
        <f>G14*100/B14</f>
        <v>103.2638526312971</v>
      </c>
      <c r="J14" s="82">
        <f>G14-F14</f>
        <v>1706.5999999999985</v>
      </c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4"/>
      <c r="AI14" s="93"/>
    </row>
    <row r="15" spans="1:35" s="92" customFormat="1" ht="58.5" customHeight="1">
      <c r="A15" s="116" t="s">
        <v>106</v>
      </c>
      <c r="B15" s="96">
        <f>B16+B18+B21</f>
        <v>804734.9</v>
      </c>
      <c r="C15" s="96">
        <f>C16+C18+C21</f>
        <v>29331.200000000001</v>
      </c>
      <c r="D15" s="96">
        <f>D16+D18+D21</f>
        <v>578285.60000000009</v>
      </c>
      <c r="E15" s="96">
        <f>E16+E18+E21</f>
        <v>0</v>
      </c>
      <c r="F15" s="96">
        <f>F16+F18+F21</f>
        <v>719976.10000000009</v>
      </c>
      <c r="G15" s="96">
        <f>G16+G18+G21</f>
        <v>578285.60000000009</v>
      </c>
      <c r="H15" s="115">
        <f>SUM(H16:H18)+H21</f>
        <v>0</v>
      </c>
      <c r="I15" s="83">
        <f>G15*100/B15</f>
        <v>71.860385326894615</v>
      </c>
      <c r="J15" s="82">
        <f>G15-F15</f>
        <v>-141690.5</v>
      </c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4"/>
      <c r="AI15" s="93"/>
    </row>
    <row r="16" spans="1:35" s="92" customFormat="1" ht="123">
      <c r="A16" s="89" t="s">
        <v>105</v>
      </c>
      <c r="B16" s="97">
        <v>140417.20000000001</v>
      </c>
      <c r="C16" s="97">
        <v>1000</v>
      </c>
      <c r="D16" s="88">
        <f>E16+G16</f>
        <v>114330.4</v>
      </c>
      <c r="E16" s="87"/>
      <c r="F16" s="97">
        <f>6383+3587+1500-120.5+1500+2000+31200+45479+34625.4</f>
        <v>126153.9</v>
      </c>
      <c r="G16" s="85">
        <v>114330.4</v>
      </c>
      <c r="H16" s="127"/>
      <c r="I16" s="83">
        <f>G16*100/B16</f>
        <v>81.421934065057556</v>
      </c>
      <c r="J16" s="82">
        <f>G16-F16</f>
        <v>-11823.5</v>
      </c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4"/>
      <c r="AI16" s="93"/>
    </row>
    <row r="17" spans="1:35" s="92" customFormat="1" ht="60" hidden="1" customHeight="1">
      <c r="A17" s="89" t="s">
        <v>104</v>
      </c>
      <c r="B17" s="126"/>
      <c r="C17" s="126"/>
      <c r="D17" s="88">
        <f>E17+G17</f>
        <v>0</v>
      </c>
      <c r="E17" s="87"/>
      <c r="F17" s="97"/>
      <c r="G17" s="85">
        <f>SUM(K17:AI17)</f>
        <v>0</v>
      </c>
      <c r="H17" s="127"/>
      <c r="I17" s="83" t="e">
        <f>G17*100/B17</f>
        <v>#DIV/0!</v>
      </c>
      <c r="J17" s="82">
        <f>G17-F17</f>
        <v>0</v>
      </c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4"/>
      <c r="AI17" s="93"/>
    </row>
    <row r="18" spans="1:35" s="92" customFormat="1" ht="55.5" customHeight="1">
      <c r="A18" s="89" t="s">
        <v>103</v>
      </c>
      <c r="B18" s="126">
        <f>B19+B20</f>
        <v>324495.90000000002</v>
      </c>
      <c r="C18" s="126"/>
      <c r="D18" s="88">
        <f>E18+G18</f>
        <v>228754.40000000002</v>
      </c>
      <c r="E18" s="88">
        <f>E19+E20</f>
        <v>0</v>
      </c>
      <c r="F18" s="97">
        <f>F19+F20</f>
        <v>264522</v>
      </c>
      <c r="G18" s="85">
        <f>G19+G20</f>
        <v>228754.40000000002</v>
      </c>
      <c r="H18" s="127"/>
      <c r="I18" s="83">
        <f>G18*100/B18</f>
        <v>70.495312883768335</v>
      </c>
      <c r="J18" s="82">
        <f>G18-F18</f>
        <v>-35767.599999999977</v>
      </c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4"/>
      <c r="AI18" s="93"/>
    </row>
    <row r="19" spans="1:35" s="92" customFormat="1" ht="51.75" customHeight="1">
      <c r="A19" s="91" t="s">
        <v>102</v>
      </c>
      <c r="B19" s="124">
        <v>39132</v>
      </c>
      <c r="C19" s="124"/>
      <c r="D19" s="111">
        <f>E19+G19</f>
        <v>46149.8</v>
      </c>
      <c r="E19" s="110"/>
      <c r="F19" s="86">
        <f>10499+9000+5331+5000+2000+1000+2500+2500+1000</f>
        <v>38830</v>
      </c>
      <c r="G19" s="123">
        <v>46149.8</v>
      </c>
      <c r="H19" s="122"/>
      <c r="I19" s="83">
        <f>G19*100/B19</f>
        <v>117.93366043136052</v>
      </c>
      <c r="J19" s="82">
        <f>G19-F19</f>
        <v>7319.8000000000029</v>
      </c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94"/>
      <c r="AI19" s="93"/>
    </row>
    <row r="20" spans="1:35" s="92" customFormat="1" ht="61.5">
      <c r="A20" s="91" t="s">
        <v>101</v>
      </c>
      <c r="B20" s="124">
        <v>285363.90000000002</v>
      </c>
      <c r="C20" s="124"/>
      <c r="D20" s="111">
        <f>E20+G20</f>
        <v>182604.6</v>
      </c>
      <c r="E20" s="110"/>
      <c r="F20" s="86">
        <f>16085+6920+1572+3000+3000+5000+47350+58935+83830</f>
        <v>225692</v>
      </c>
      <c r="G20" s="123">
        <v>182604.6</v>
      </c>
      <c r="H20" s="122"/>
      <c r="I20" s="83">
        <f>G20*100/B20</f>
        <v>63.99008423980748</v>
      </c>
      <c r="J20" s="82">
        <f>G20-F20</f>
        <v>-43087.399999999994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94"/>
      <c r="AI20" s="93"/>
    </row>
    <row r="21" spans="1:35" s="92" customFormat="1" ht="64.5" customHeight="1">
      <c r="A21" s="89" t="s">
        <v>100</v>
      </c>
      <c r="B21" s="126">
        <f>B22+B23</f>
        <v>339821.8</v>
      </c>
      <c r="C21" s="126">
        <f>C22+C23</f>
        <v>28331.200000000001</v>
      </c>
      <c r="D21" s="126">
        <f>D22+D23</f>
        <v>235200.80000000002</v>
      </c>
      <c r="E21" s="126">
        <f>E22+E23</f>
        <v>0</v>
      </c>
      <c r="F21" s="126">
        <f>F22+F23</f>
        <v>329300.2</v>
      </c>
      <c r="G21" s="126">
        <f>G22+G23</f>
        <v>235200.80000000002</v>
      </c>
      <c r="H21" s="85">
        <f>H22+H23</f>
        <v>0</v>
      </c>
      <c r="I21" s="83">
        <f>G21*100/B21</f>
        <v>69.212981627429443</v>
      </c>
      <c r="J21" s="82">
        <f>G21-F21</f>
        <v>-94099.4</v>
      </c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125"/>
      <c r="AI21" s="93"/>
    </row>
    <row r="22" spans="1:35" s="92" customFormat="1" ht="54.75" customHeight="1">
      <c r="A22" s="91" t="s">
        <v>99</v>
      </c>
      <c r="B22" s="124">
        <v>249601.6</v>
      </c>
      <c r="C22" s="124">
        <v>0</v>
      </c>
      <c r="D22" s="111">
        <f>E22+G22</f>
        <v>169690.7</v>
      </c>
      <c r="E22" s="87"/>
      <c r="F22" s="86">
        <f>67120+55000+62080-32100+1000+500+94600+1000</f>
        <v>249200</v>
      </c>
      <c r="G22" s="123">
        <v>169690.7</v>
      </c>
      <c r="H22" s="122"/>
      <c r="I22" s="83">
        <f>G22*100/B22</f>
        <v>67.984620290895563</v>
      </c>
      <c r="J22" s="82">
        <f>G22-F22</f>
        <v>-79509.299999999988</v>
      </c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0"/>
      <c r="AI22" s="93"/>
    </row>
    <row r="23" spans="1:35" s="92" customFormat="1" ht="60.75" customHeight="1">
      <c r="A23" s="91" t="s">
        <v>98</v>
      </c>
      <c r="B23" s="124">
        <v>90220.2</v>
      </c>
      <c r="C23" s="124">
        <v>28331.200000000001</v>
      </c>
      <c r="D23" s="111">
        <f>E23+G23</f>
        <v>65510.1</v>
      </c>
      <c r="E23" s="87"/>
      <c r="F23" s="86">
        <f>6215+1500-101+1000+1101+1828+18700+32050+17807.2</f>
        <v>80100.2</v>
      </c>
      <c r="G23" s="123">
        <v>65510.1</v>
      </c>
      <c r="H23" s="122"/>
      <c r="I23" s="83">
        <f>G23*100/B23</f>
        <v>72.611344244415335</v>
      </c>
      <c r="J23" s="82">
        <f>G23-F23</f>
        <v>-14590.099999999999</v>
      </c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0"/>
      <c r="AI23" s="93"/>
    </row>
    <row r="24" spans="1:35" s="92" customFormat="1" ht="59.25" customHeight="1">
      <c r="A24" s="116" t="s">
        <v>97</v>
      </c>
      <c r="B24" s="96">
        <f>B25+B27+B28+B29+B30+B31</f>
        <v>70369.899999999994</v>
      </c>
      <c r="C24" s="96">
        <f>C25+C27+C28+C29+C30+C31</f>
        <v>1168.0999999999999</v>
      </c>
      <c r="D24" s="96">
        <f>D25+D27+D28+D29+D30+D31</f>
        <v>74184</v>
      </c>
      <c r="E24" s="96">
        <f>E25+E27+E28+E29+E30+E31</f>
        <v>0</v>
      </c>
      <c r="F24" s="96">
        <f>F25+F27+F28+F29+F30+F31</f>
        <v>63601.700000000004</v>
      </c>
      <c r="G24" s="96">
        <f>G25+G27+G28+G29+G30+G31+0.1</f>
        <v>76771.400000000009</v>
      </c>
      <c r="H24" s="115" t="e">
        <f>H25+#REF!+H27</f>
        <v>#REF!</v>
      </c>
      <c r="I24" s="83">
        <f>G24*100/B24</f>
        <v>109.09692922684275</v>
      </c>
      <c r="J24" s="82">
        <f>G24-F24</f>
        <v>13169.700000000004</v>
      </c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4"/>
      <c r="AI24" s="93"/>
    </row>
    <row r="25" spans="1:35" s="92" customFormat="1" ht="118.5" customHeight="1">
      <c r="A25" s="104" t="s">
        <v>96</v>
      </c>
      <c r="B25" s="102">
        <v>41583.9</v>
      </c>
      <c r="C25" s="102">
        <v>790.6</v>
      </c>
      <c r="D25" s="103">
        <f>E25+G25</f>
        <v>57893.599999999999</v>
      </c>
      <c r="E25" s="121"/>
      <c r="F25" s="102">
        <f>8237.2+10500+3546.7+3600+3700+4000+4000</f>
        <v>37583.9</v>
      </c>
      <c r="G25" s="109">
        <v>57893.599999999999</v>
      </c>
      <c r="H25" s="101"/>
      <c r="I25" s="83">
        <f>G25*100/B25</f>
        <v>139.22118896976954</v>
      </c>
      <c r="J25" s="82">
        <f>G25-F25</f>
        <v>20309.699999999997</v>
      </c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4"/>
      <c r="AI25" s="93"/>
    </row>
    <row r="26" spans="1:35" s="92" customFormat="1" ht="173.25" hidden="1" customHeight="1">
      <c r="A26" s="104" t="s">
        <v>95</v>
      </c>
      <c r="B26" s="102"/>
      <c r="C26" s="102"/>
      <c r="D26" s="103"/>
      <c r="E26" s="121"/>
      <c r="F26" s="102"/>
      <c r="G26" s="109"/>
      <c r="H26" s="101"/>
      <c r="I26" s="83" t="e">
        <f>G26*100/B26</f>
        <v>#DIV/0!</v>
      </c>
      <c r="J26" s="82">
        <f>G26-F26</f>
        <v>0</v>
      </c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4"/>
      <c r="AI26" s="93"/>
    </row>
    <row r="27" spans="1:35" s="92" customFormat="1" ht="246">
      <c r="A27" s="104" t="s">
        <v>94</v>
      </c>
      <c r="B27" s="102">
        <v>4950</v>
      </c>
      <c r="C27" s="102">
        <v>377.5</v>
      </c>
      <c r="D27" s="103">
        <f>E27+G27</f>
        <v>3656.9</v>
      </c>
      <c r="E27" s="121"/>
      <c r="F27" s="102">
        <f>1200+1200+400+400+450+500+500</f>
        <v>4650</v>
      </c>
      <c r="G27" s="109">
        <v>3656.9</v>
      </c>
      <c r="H27" s="101"/>
      <c r="I27" s="83">
        <f>G27*100/B27</f>
        <v>73.87676767676767</v>
      </c>
      <c r="J27" s="82">
        <f>G27-F27</f>
        <v>-993.09999999999991</v>
      </c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4"/>
      <c r="AI27" s="93"/>
    </row>
    <row r="28" spans="1:35" s="92" customFormat="1" ht="144" customHeight="1">
      <c r="A28" s="104" t="s">
        <v>93</v>
      </c>
      <c r="B28" s="102">
        <v>21796.9</v>
      </c>
      <c r="C28" s="102"/>
      <c r="D28" s="103">
        <f>E28+G28</f>
        <v>12633.5</v>
      </c>
      <c r="E28" s="121"/>
      <c r="F28" s="102">
        <f>3008.7+6200+2100+2100+2100+2000+2000</f>
        <v>19508.7</v>
      </c>
      <c r="G28" s="109">
        <v>12633.5</v>
      </c>
      <c r="H28" s="101"/>
      <c r="I28" s="83">
        <f>G28*100/B28</f>
        <v>57.960076891668081</v>
      </c>
      <c r="J28" s="82">
        <f>G28-F28</f>
        <v>-6875.2000000000007</v>
      </c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4"/>
      <c r="AI28" s="93"/>
    </row>
    <row r="29" spans="1:35" s="92" customFormat="1" ht="109.5" customHeight="1">
      <c r="A29" s="104" t="s">
        <v>92</v>
      </c>
      <c r="B29" s="102">
        <v>287.7</v>
      </c>
      <c r="C29" s="102"/>
      <c r="D29" s="103"/>
      <c r="E29" s="121"/>
      <c r="F29" s="102">
        <f>47.7+60+30+30+140+30+30</f>
        <v>367.7</v>
      </c>
      <c r="G29" s="109">
        <v>386.6</v>
      </c>
      <c r="H29" s="101"/>
      <c r="I29" s="83">
        <f>G29*100/B29</f>
        <v>134.37608620090373</v>
      </c>
      <c r="J29" s="82">
        <f>G29-F29</f>
        <v>18.900000000000034</v>
      </c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4"/>
      <c r="AI29" s="93"/>
    </row>
    <row r="30" spans="1:35" s="92" customFormat="1" ht="135.75" customHeight="1">
      <c r="A30" s="104" t="s">
        <v>91</v>
      </c>
      <c r="B30" s="102">
        <v>1646.4</v>
      </c>
      <c r="C30" s="102"/>
      <c r="D30" s="103"/>
      <c r="E30" s="121"/>
      <c r="F30" s="102">
        <f>366.4+430+140+140+30+140+140</f>
        <v>1386.4</v>
      </c>
      <c r="G30" s="109">
        <v>1125.7</v>
      </c>
      <c r="H30" s="101"/>
      <c r="I30" s="83">
        <f>G30*100/B30</f>
        <v>68.373420796890187</v>
      </c>
      <c r="J30" s="82">
        <f>G30-F30</f>
        <v>-260.70000000000005</v>
      </c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4"/>
      <c r="AI30" s="93"/>
    </row>
    <row r="31" spans="1:35" s="92" customFormat="1" ht="123">
      <c r="A31" s="104" t="s">
        <v>90</v>
      </c>
      <c r="B31" s="102">
        <v>105</v>
      </c>
      <c r="C31" s="102"/>
      <c r="D31" s="103"/>
      <c r="E31" s="121"/>
      <c r="F31" s="102">
        <v>105</v>
      </c>
      <c r="G31" s="109">
        <v>1075</v>
      </c>
      <c r="H31" s="101"/>
      <c r="I31" s="83" t="s">
        <v>71</v>
      </c>
      <c r="J31" s="82">
        <f>G31-F31</f>
        <v>970</v>
      </c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4"/>
      <c r="AI31" s="93"/>
    </row>
    <row r="32" spans="1:35" s="92" customFormat="1" ht="147" hidden="1" customHeight="1">
      <c r="A32" s="116" t="s">
        <v>89</v>
      </c>
      <c r="B32" s="96"/>
      <c r="C32" s="96"/>
      <c r="D32" s="87"/>
      <c r="E32" s="87"/>
      <c r="F32" s="96"/>
      <c r="G32" s="83"/>
      <c r="H32" s="83">
        <f>F32-E32</f>
        <v>0</v>
      </c>
      <c r="I32" s="119" t="e">
        <f>G32*100/B32</f>
        <v>#DIV/0!</v>
      </c>
      <c r="J32" s="118">
        <f>G32-F32</f>
        <v>0</v>
      </c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4"/>
      <c r="AI32" s="93"/>
    </row>
    <row r="33" spans="1:35" s="92" customFormat="1" ht="57.75" customHeight="1">
      <c r="A33" s="120" t="s">
        <v>88</v>
      </c>
      <c r="B33" s="119">
        <f>B34+B35+B41+B42+B43+B44+B47+B48+B49+B50+B52+B53+B54+B57+B58+B61+B66</f>
        <v>434622.1</v>
      </c>
      <c r="C33" s="119">
        <f>C34+C35+C41+C42+C43+C44+C47+C48+C49+C50+C52+C53+C54+C57+C58+C61+C66</f>
        <v>36923.9</v>
      </c>
      <c r="D33" s="119">
        <f>D34+D35+D41+D42+D43+D44+D47+D48+D49+D50+D52+D53+D54+D57+D58+D61+D66</f>
        <v>375690.6</v>
      </c>
      <c r="E33" s="119">
        <f>E34+E35+E41+E42+E43+E44+E47+E48+E49+E50+E52+E53+E54+E57+E58+E61+E66</f>
        <v>0</v>
      </c>
      <c r="F33" s="119">
        <f>F34+F35+F41+F42+F43+F44+F47+F48+F49+F50+F52+F53+F54+F57+F58+F61+F66</f>
        <v>369469.4</v>
      </c>
      <c r="G33" s="119">
        <f>G34+G35+G41+G42+G43+G44+G47+G48+G49+G50+G52+G53+G54+G57+G58+G61+G66+G65</f>
        <v>447337.69999999995</v>
      </c>
      <c r="H33" s="119" t="e">
        <f>H34+H35+H42+H43+H44+H45+H48+#REF!+#REF!+H51+H54+H58+H61+H62+H66</f>
        <v>#REF!</v>
      </c>
      <c r="I33" s="119">
        <f>G33*100/B33</f>
        <v>102.92566806888098</v>
      </c>
      <c r="J33" s="118">
        <f>G33-F33</f>
        <v>77868.29999999993</v>
      </c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93"/>
    </row>
    <row r="34" spans="1:35" s="92" customFormat="1" ht="123.75" customHeight="1">
      <c r="A34" s="89" t="s">
        <v>87</v>
      </c>
      <c r="B34" s="97">
        <v>633</v>
      </c>
      <c r="C34" s="97"/>
      <c r="D34" s="88">
        <f>E34+G34</f>
        <v>538</v>
      </c>
      <c r="E34" s="87"/>
      <c r="F34" s="97">
        <v>633</v>
      </c>
      <c r="G34" s="97">
        <v>538</v>
      </c>
      <c r="H34" s="97"/>
      <c r="I34" s="83">
        <f>G34*100/B34</f>
        <v>84.99210110584518</v>
      </c>
      <c r="J34" s="82">
        <f>G34-F34</f>
        <v>-95</v>
      </c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4"/>
      <c r="AI34" s="93"/>
    </row>
    <row r="35" spans="1:35" s="92" customFormat="1" ht="119.25" customHeight="1">
      <c r="A35" s="116" t="s">
        <v>86</v>
      </c>
      <c r="B35" s="96">
        <f>B36+B38+B39+B40</f>
        <v>314400.2</v>
      </c>
      <c r="C35" s="96">
        <f>C36+C38+C39+C40</f>
        <v>31363.4</v>
      </c>
      <c r="D35" s="96">
        <f>D36+D38+D39+D40</f>
        <v>262680.2</v>
      </c>
      <c r="E35" s="96">
        <f>E36+E38+E39+E40</f>
        <v>0</v>
      </c>
      <c r="F35" s="96">
        <f>F36+F38+F39+F40</f>
        <v>291033.10000000009</v>
      </c>
      <c r="G35" s="96">
        <f>G36+G38+G39+G40</f>
        <v>265183.2</v>
      </c>
      <c r="H35" s="115" t="e">
        <f>#REF!+H36+H40+H42</f>
        <v>#REF!</v>
      </c>
      <c r="I35" s="83">
        <f>G35*100/B35</f>
        <v>84.345747871661658</v>
      </c>
      <c r="J35" s="82">
        <f>G35-F35</f>
        <v>-25849.900000000081</v>
      </c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4"/>
      <c r="AI35" s="93"/>
    </row>
    <row r="36" spans="1:35" s="92" customFormat="1" ht="180.75" customHeight="1">
      <c r="A36" s="108" t="s">
        <v>85</v>
      </c>
      <c r="B36" s="105">
        <v>244478.1</v>
      </c>
      <c r="C36" s="105">
        <v>15539.2</v>
      </c>
      <c r="D36" s="107">
        <f>E36+G36</f>
        <v>193963.5</v>
      </c>
      <c r="E36" s="106"/>
      <c r="F36" s="105">
        <f>53798.4+60827+15300+19090.2+19090.2+19090.2+19090.2+19090.2</f>
        <v>225376.40000000005</v>
      </c>
      <c r="G36" s="99">
        <v>193963.5</v>
      </c>
      <c r="H36" s="98"/>
      <c r="I36" s="83">
        <f>G36*100/B36</f>
        <v>79.337781175491784</v>
      </c>
      <c r="J36" s="82">
        <f>G36-F36</f>
        <v>-31412.900000000052</v>
      </c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0"/>
      <c r="AI36" s="93"/>
    </row>
    <row r="37" spans="1:35" s="92" customFormat="1" ht="29.25" hidden="1" customHeight="1">
      <c r="A37" s="108" t="s">
        <v>84</v>
      </c>
      <c r="B37" s="105"/>
      <c r="C37" s="105"/>
      <c r="D37" s="107">
        <f>E37+G37</f>
        <v>0</v>
      </c>
      <c r="E37" s="106"/>
      <c r="F37" s="105"/>
      <c r="G37" s="99"/>
      <c r="H37" s="98"/>
      <c r="I37" s="83" t="e">
        <f>G37*100/B37</f>
        <v>#DIV/0!</v>
      </c>
      <c r="J37" s="82">
        <f>G37-F37</f>
        <v>0</v>
      </c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0"/>
      <c r="AI37" s="93"/>
    </row>
    <row r="38" spans="1:35" s="92" customFormat="1" ht="186" customHeight="1">
      <c r="A38" s="108" t="s">
        <v>83</v>
      </c>
      <c r="B38" s="105">
        <v>53181.9</v>
      </c>
      <c r="C38" s="105"/>
      <c r="D38" s="107">
        <f>E38+G38</f>
        <v>54050.7</v>
      </c>
      <c r="E38" s="106"/>
      <c r="F38" s="105">
        <f>7672.4+6804.9+23280.9+2600.6+2500+2421.9+2600.9+2500.3</f>
        <v>50381.9</v>
      </c>
      <c r="G38" s="99">
        <v>54050.7</v>
      </c>
      <c r="H38" s="98"/>
      <c r="I38" s="83">
        <f>G38*100/B38</f>
        <v>101.633638512351</v>
      </c>
      <c r="J38" s="82">
        <f>G38-F38</f>
        <v>3668.7999999999956</v>
      </c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0"/>
      <c r="AI38" s="93"/>
    </row>
    <row r="39" spans="1:35" s="92" customFormat="1" ht="171.75" customHeight="1">
      <c r="A39" s="108" t="s">
        <v>82</v>
      </c>
      <c r="B39" s="105">
        <v>1812.4</v>
      </c>
      <c r="C39" s="105"/>
      <c r="D39" s="107"/>
      <c r="E39" s="106"/>
      <c r="F39" s="105">
        <f>297.6+301.8+608+100.7+100.7+100.7+100.7+100.7</f>
        <v>1710.9000000000003</v>
      </c>
      <c r="G39" s="99">
        <v>2503</v>
      </c>
      <c r="H39" s="98"/>
      <c r="I39" s="83">
        <f>G39*100/B39</f>
        <v>138.1041712646215</v>
      </c>
      <c r="J39" s="82">
        <f>G39-F39</f>
        <v>792.09999999999968</v>
      </c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0"/>
      <c r="AI39" s="93"/>
    </row>
    <row r="40" spans="1:35" s="92" customFormat="1" ht="124.5" customHeight="1">
      <c r="A40" s="108" t="s">
        <v>81</v>
      </c>
      <c r="B40" s="105">
        <v>14927.8</v>
      </c>
      <c r="C40" s="105">
        <v>15824.2</v>
      </c>
      <c r="D40" s="107">
        <f>E40+G40</f>
        <v>14666</v>
      </c>
      <c r="E40" s="106"/>
      <c r="F40" s="105">
        <f>1750.9+1950+3041+1364.4+1364.4+1364.4+1364.4+1364.4</f>
        <v>13563.899999999998</v>
      </c>
      <c r="G40" s="99">
        <v>14666</v>
      </c>
      <c r="H40" s="98"/>
      <c r="I40" s="83">
        <f>G40*100/B40</f>
        <v>98.246225163788367</v>
      </c>
      <c r="J40" s="82">
        <f>G40-F40</f>
        <v>1102.1000000000022</v>
      </c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0"/>
      <c r="AI40" s="93"/>
    </row>
    <row r="41" spans="1:35" s="92" customFormat="1" ht="81" customHeight="1">
      <c r="A41" s="108" t="s">
        <v>80</v>
      </c>
      <c r="B41" s="105">
        <v>83.3</v>
      </c>
      <c r="C41" s="105"/>
      <c r="D41" s="107">
        <f>E41+G41</f>
        <v>124.2</v>
      </c>
      <c r="E41" s="106"/>
      <c r="F41" s="105">
        <f>13.2+21+7+7+7+7+7</f>
        <v>69.2</v>
      </c>
      <c r="G41" s="99">
        <v>124.2</v>
      </c>
      <c r="H41" s="98"/>
      <c r="I41" s="83">
        <f>G41*100/B41</f>
        <v>149.09963985594237</v>
      </c>
      <c r="J41" s="82">
        <f>G41-F41</f>
        <v>55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0"/>
      <c r="AI41" s="93"/>
    </row>
    <row r="42" spans="1:35" s="92" customFormat="1" ht="169.5" customHeight="1">
      <c r="A42" s="89" t="s">
        <v>79</v>
      </c>
      <c r="B42" s="97">
        <v>883.7</v>
      </c>
      <c r="C42" s="97">
        <v>409</v>
      </c>
      <c r="D42" s="88">
        <f>E42+G42</f>
        <v>0</v>
      </c>
      <c r="E42" s="87"/>
      <c r="F42" s="97">
        <v>883.7</v>
      </c>
      <c r="G42" s="99">
        <v>0</v>
      </c>
      <c r="H42" s="98"/>
      <c r="I42" s="83">
        <f>G42*100/B42</f>
        <v>0</v>
      </c>
      <c r="J42" s="82">
        <f>G42-F42</f>
        <v>-883.7</v>
      </c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4"/>
      <c r="AI42" s="93"/>
    </row>
    <row r="43" spans="1:35" s="92" customFormat="1" ht="66" customHeight="1">
      <c r="A43" s="89" t="s">
        <v>78</v>
      </c>
      <c r="B43" s="97">
        <v>25062.6</v>
      </c>
      <c r="C43" s="97">
        <v>2158</v>
      </c>
      <c r="D43" s="88">
        <f>E43+G43</f>
        <v>21687.5</v>
      </c>
      <c r="E43" s="87"/>
      <c r="F43" s="97">
        <f>5154.2+6448.8+3036.3+1803.6+1916.6+2966.6+1966.7</f>
        <v>23292.799999999996</v>
      </c>
      <c r="G43" s="99">
        <f>10633.2+11054.3</f>
        <v>21687.5</v>
      </c>
      <c r="H43" s="98"/>
      <c r="I43" s="83">
        <f>G43*100/B43</f>
        <v>86.533320565304479</v>
      </c>
      <c r="J43" s="82">
        <f>G43-F43</f>
        <v>-1605.2999999999956</v>
      </c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4"/>
      <c r="AI43" s="93"/>
    </row>
    <row r="44" spans="1:35" s="92" customFormat="1" ht="60.75" customHeight="1">
      <c r="A44" s="89" t="s">
        <v>77</v>
      </c>
      <c r="B44" s="97">
        <v>463.8</v>
      </c>
      <c r="C44" s="97">
        <v>950</v>
      </c>
      <c r="D44" s="88">
        <f>E44+G44</f>
        <v>1065.3</v>
      </c>
      <c r="E44" s="87"/>
      <c r="F44" s="97">
        <f>245+71.8+52+10+10+55+10</f>
        <v>453.8</v>
      </c>
      <c r="G44" s="99">
        <v>1065.3</v>
      </c>
      <c r="H44" s="98"/>
      <c r="I44" s="83" t="s">
        <v>71</v>
      </c>
      <c r="J44" s="82">
        <f>G44-F44</f>
        <v>611.5</v>
      </c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4"/>
      <c r="AI44" s="93"/>
    </row>
    <row r="45" spans="1:35" s="92" customFormat="1" ht="96" hidden="1" customHeight="1">
      <c r="A45" s="89" t="s">
        <v>76</v>
      </c>
      <c r="B45" s="97"/>
      <c r="C45" s="97">
        <v>42.9</v>
      </c>
      <c r="D45" s="88">
        <f>E45+G45</f>
        <v>0</v>
      </c>
      <c r="E45" s="87"/>
      <c r="F45" s="97"/>
      <c r="G45" s="99"/>
      <c r="H45" s="98"/>
      <c r="I45" s="83" t="e">
        <f>G45*100/B45</f>
        <v>#DIV/0!</v>
      </c>
      <c r="J45" s="82">
        <f>G45-F45</f>
        <v>0</v>
      </c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4"/>
      <c r="AI45" s="93"/>
    </row>
    <row r="46" spans="1:35" s="92" customFormat="1" ht="100.5" hidden="1" customHeight="1">
      <c r="A46" s="89" t="s">
        <v>75</v>
      </c>
      <c r="B46" s="97"/>
      <c r="C46" s="97">
        <v>0</v>
      </c>
      <c r="D46" s="88">
        <f>E46+G46</f>
        <v>0</v>
      </c>
      <c r="E46" s="87"/>
      <c r="F46" s="97"/>
      <c r="G46" s="99"/>
      <c r="H46" s="98"/>
      <c r="I46" s="83" t="e">
        <f>G46*100/B46</f>
        <v>#DIV/0!</v>
      </c>
      <c r="J46" s="82">
        <f>G46-F46</f>
        <v>0</v>
      </c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4"/>
      <c r="AI46" s="93"/>
    </row>
    <row r="47" spans="1:35" s="92" customFormat="1" ht="51.75" customHeight="1">
      <c r="A47" s="89" t="s">
        <v>74</v>
      </c>
      <c r="B47" s="97">
        <v>2540.8000000000002</v>
      </c>
      <c r="C47" s="97"/>
      <c r="D47" s="88"/>
      <c r="E47" s="87"/>
      <c r="F47" s="97">
        <f>577.7+653.1+217.7+217.7+217.7+217.7+217.7</f>
        <v>2319.3000000000002</v>
      </c>
      <c r="G47" s="99">
        <v>3108.7</v>
      </c>
      <c r="H47" s="98"/>
      <c r="I47" s="83">
        <f>G47*100/B47</f>
        <v>122.35122795969772</v>
      </c>
      <c r="J47" s="82">
        <f>G47-F47</f>
        <v>789.39999999999964</v>
      </c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4"/>
      <c r="AI47" s="93"/>
    </row>
    <row r="48" spans="1:35" s="92" customFormat="1" ht="55.5" customHeight="1">
      <c r="A48" s="89" t="s">
        <v>73</v>
      </c>
      <c r="B48" s="97">
        <v>502.8</v>
      </c>
      <c r="C48" s="97"/>
      <c r="D48" s="88">
        <f>E48+G48</f>
        <v>529</v>
      </c>
      <c r="E48" s="87"/>
      <c r="F48" s="97">
        <f>7+13.5+461.2+3.5+3.5+3.5+3.5+3.5</f>
        <v>499.2</v>
      </c>
      <c r="G48" s="99">
        <v>529</v>
      </c>
      <c r="H48" s="98"/>
      <c r="I48" s="83">
        <f>G48*100/B48</f>
        <v>105.21081941129674</v>
      </c>
      <c r="J48" s="82">
        <f>G48-F48</f>
        <v>29.800000000000011</v>
      </c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4"/>
      <c r="AI48" s="93"/>
    </row>
    <row r="49" spans="1:35" s="92" customFormat="1" ht="51.75" customHeight="1">
      <c r="A49" s="89" t="s">
        <v>72</v>
      </c>
      <c r="B49" s="97">
        <v>425</v>
      </c>
      <c r="C49" s="97"/>
      <c r="D49" s="88">
        <f>E49+G49</f>
        <v>59184.5</v>
      </c>
      <c r="E49" s="87"/>
      <c r="F49" s="97">
        <f>16+52.3+135.6+32+32.7+38+36+40.4</f>
        <v>382.99999999999994</v>
      </c>
      <c r="G49" s="99">
        <v>59184.5</v>
      </c>
      <c r="H49" s="98"/>
      <c r="I49" s="83" t="s">
        <v>71</v>
      </c>
      <c r="J49" s="82">
        <f>G49-F49</f>
        <v>58801.5</v>
      </c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4"/>
      <c r="AI49" s="93"/>
    </row>
    <row r="50" spans="1:35" s="92" customFormat="1" ht="111.75" customHeight="1">
      <c r="A50" s="89" t="s">
        <v>70</v>
      </c>
      <c r="B50" s="97">
        <v>596.5</v>
      </c>
      <c r="C50" s="97"/>
      <c r="D50" s="88">
        <f>E50+G50</f>
        <v>3507.3</v>
      </c>
      <c r="E50" s="87"/>
      <c r="F50" s="97">
        <v>596.5</v>
      </c>
      <c r="G50" s="99">
        <v>3507.3</v>
      </c>
      <c r="H50" s="98"/>
      <c r="I50" s="83">
        <f>G50*100/B50</f>
        <v>587.97988264878461</v>
      </c>
      <c r="J50" s="82">
        <f>G50-F50</f>
        <v>2910.8</v>
      </c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4"/>
      <c r="AI50" s="93"/>
    </row>
    <row r="51" spans="1:35" s="92" customFormat="1" ht="103.5" hidden="1" customHeight="1">
      <c r="A51" s="89" t="s">
        <v>69</v>
      </c>
      <c r="B51" s="97"/>
      <c r="C51" s="97"/>
      <c r="D51" s="88"/>
      <c r="E51" s="87"/>
      <c r="F51" s="97"/>
      <c r="G51" s="99"/>
      <c r="H51" s="98"/>
      <c r="I51" s="83" t="e">
        <f>G51*100/B51</f>
        <v>#DIV/0!</v>
      </c>
      <c r="J51" s="82">
        <f>G51-F51</f>
        <v>0</v>
      </c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4"/>
      <c r="AI51" s="93"/>
    </row>
    <row r="52" spans="1:35" s="92" customFormat="1" ht="129.75" customHeight="1">
      <c r="A52" s="108" t="s">
        <v>68</v>
      </c>
      <c r="B52" s="105">
        <f>587.5+270.4</f>
        <v>857.9</v>
      </c>
      <c r="C52" s="105"/>
      <c r="D52" s="107">
        <f>E52+G52</f>
        <v>473.4</v>
      </c>
      <c r="E52" s="106"/>
      <c r="F52" s="105">
        <f>76+114+55.8+63+30+63+30+63+30+71.8+40+75+40</f>
        <v>751.59999999999991</v>
      </c>
      <c r="G52" s="99">
        <f>122.6+350.8</f>
        <v>473.4</v>
      </c>
      <c r="H52" s="98"/>
      <c r="I52" s="83">
        <f>G52*100/B52</f>
        <v>55.181256556708242</v>
      </c>
      <c r="J52" s="82">
        <f>G52-F52</f>
        <v>-278.19999999999993</v>
      </c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113"/>
      <c r="AI52" s="93"/>
    </row>
    <row r="53" spans="1:35" s="92" customFormat="1" ht="63.75" customHeight="1">
      <c r="A53" s="108" t="s">
        <v>67</v>
      </c>
      <c r="B53" s="105">
        <v>578.20000000000005</v>
      </c>
      <c r="C53" s="105"/>
      <c r="D53" s="107">
        <f>E53+G53</f>
        <v>668.5</v>
      </c>
      <c r="E53" s="106"/>
      <c r="F53" s="105">
        <f>50+138.6+56.9+56.9+56.9+66.9+66.9</f>
        <v>493.09999999999991</v>
      </c>
      <c r="G53" s="99">
        <v>668.5</v>
      </c>
      <c r="H53" s="98"/>
      <c r="I53" s="83">
        <f>G53*100/B53</f>
        <v>115.61743341404357</v>
      </c>
      <c r="J53" s="82">
        <f>G53-F53</f>
        <v>175.40000000000009</v>
      </c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113"/>
      <c r="AI53" s="93"/>
    </row>
    <row r="54" spans="1:35" s="92" customFormat="1" ht="61.5">
      <c r="A54" s="108" t="s">
        <v>66</v>
      </c>
      <c r="B54" s="105">
        <v>24554.1</v>
      </c>
      <c r="C54" s="105">
        <f>SUM(C55:C56)</f>
        <v>0</v>
      </c>
      <c r="D54" s="105">
        <f>SUM(D55:D56)</f>
        <v>0</v>
      </c>
      <c r="E54" s="105">
        <f>SUM(E55:E56)</f>
        <v>0</v>
      </c>
      <c r="F54" s="105">
        <v>24554.1</v>
      </c>
      <c r="G54" s="105">
        <v>44153.8</v>
      </c>
      <c r="H54" s="98">
        <f>H55+H56</f>
        <v>0</v>
      </c>
      <c r="I54" s="83">
        <f>G54*100/B54</f>
        <v>179.82251436623619</v>
      </c>
      <c r="J54" s="82">
        <f>G54-F54</f>
        <v>19599.700000000004</v>
      </c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93"/>
    </row>
    <row r="55" spans="1:35" s="92" customFormat="1" ht="72" hidden="1" customHeight="1">
      <c r="A55" s="91" t="s">
        <v>65</v>
      </c>
      <c r="B55" s="86">
        <v>19950.900000000001</v>
      </c>
      <c r="C55" s="86"/>
      <c r="D55" s="111"/>
      <c r="E55" s="110"/>
      <c r="F55" s="86">
        <f>5590.9+4410</f>
        <v>10000.9</v>
      </c>
      <c r="G55" s="109">
        <v>18918.7</v>
      </c>
      <c r="H55" s="101"/>
      <c r="I55" s="83">
        <f>G55*100/B55</f>
        <v>94.826298562972084</v>
      </c>
      <c r="J55" s="82">
        <f>G55-F55</f>
        <v>8917.8000000000011</v>
      </c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0"/>
      <c r="AI55" s="93"/>
    </row>
    <row r="56" spans="1:35" s="92" customFormat="1" ht="98.25" hidden="1" customHeight="1">
      <c r="A56" s="91" t="s">
        <v>64</v>
      </c>
      <c r="B56" s="86">
        <v>3723.7</v>
      </c>
      <c r="C56" s="86"/>
      <c r="D56" s="111"/>
      <c r="E56" s="110"/>
      <c r="F56" s="86">
        <v>3723.7</v>
      </c>
      <c r="G56" s="109">
        <v>3862.4</v>
      </c>
      <c r="H56" s="101"/>
      <c r="I56" s="83">
        <f>G56*100/B56</f>
        <v>103.72478985954831</v>
      </c>
      <c r="J56" s="82">
        <f>G56-F56</f>
        <v>138.70000000000027</v>
      </c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0"/>
      <c r="AI56" s="93"/>
    </row>
    <row r="57" spans="1:35" s="92" customFormat="1" ht="60.75" customHeight="1">
      <c r="A57" s="108" t="s">
        <v>63</v>
      </c>
      <c r="B57" s="105">
        <v>45416.5</v>
      </c>
      <c r="C57" s="105"/>
      <c r="D57" s="107"/>
      <c r="E57" s="106"/>
      <c r="F57" s="105">
        <f>1664.8+1900+1100+500+500+1100+500</f>
        <v>7264.8</v>
      </c>
      <c r="G57" s="99">
        <v>6759</v>
      </c>
      <c r="H57" s="98"/>
      <c r="I57" s="83">
        <f>G57*100/B57</f>
        <v>14.882256448647517</v>
      </c>
      <c r="J57" s="82">
        <f>G57-F57</f>
        <v>-505.80000000000018</v>
      </c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0"/>
      <c r="AI57" s="93"/>
    </row>
    <row r="58" spans="1:35" s="92" customFormat="1" ht="61.5">
      <c r="A58" s="89" t="s">
        <v>62</v>
      </c>
      <c r="B58" s="97">
        <v>17623.7</v>
      </c>
      <c r="C58" s="97">
        <v>2043.5</v>
      </c>
      <c r="D58" s="88">
        <f>E58+G58</f>
        <v>22071.599999999999</v>
      </c>
      <c r="E58" s="88"/>
      <c r="F58" s="97">
        <f>3940.5+3988+1522.5+1361.9+1330.8+1368.4+1361.8+1368.3</f>
        <v>16242.199999999997</v>
      </c>
      <c r="G58" s="99">
        <v>22071.599999999999</v>
      </c>
      <c r="H58" s="98"/>
      <c r="I58" s="83">
        <f>G58*100/B58</f>
        <v>125.23817359578294</v>
      </c>
      <c r="J58" s="82">
        <f>G58-F58</f>
        <v>5829.4000000000015</v>
      </c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4"/>
      <c r="AI58" s="93"/>
    </row>
    <row r="59" spans="1:35" s="92" customFormat="1" ht="3" hidden="1" customHeight="1">
      <c r="A59" s="104" t="s">
        <v>61</v>
      </c>
      <c r="B59" s="102">
        <v>539.1</v>
      </c>
      <c r="C59" s="102"/>
      <c r="D59" s="88">
        <f>E59+G59</f>
        <v>0</v>
      </c>
      <c r="E59" s="103"/>
      <c r="F59" s="102"/>
      <c r="G59" s="99"/>
      <c r="H59" s="101"/>
      <c r="I59" s="83">
        <f>G59*100/B59</f>
        <v>0</v>
      </c>
      <c r="J59" s="82">
        <f>G59-F59</f>
        <v>0</v>
      </c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95"/>
      <c r="AB59" s="95"/>
      <c r="AC59" s="95"/>
      <c r="AD59" s="95"/>
      <c r="AE59" s="95"/>
      <c r="AF59" s="95"/>
      <c r="AG59" s="95"/>
      <c r="AH59" s="94"/>
      <c r="AI59" s="93"/>
    </row>
    <row r="60" spans="1:35" s="92" customFormat="1" ht="23.25" hidden="1" customHeight="1">
      <c r="A60" s="104" t="s">
        <v>60</v>
      </c>
      <c r="B60" s="102">
        <v>30.6</v>
      </c>
      <c r="C60" s="102"/>
      <c r="D60" s="88">
        <f>E60+G60</f>
        <v>0</v>
      </c>
      <c r="E60" s="103"/>
      <c r="F60" s="102"/>
      <c r="G60" s="99"/>
      <c r="H60" s="101"/>
      <c r="I60" s="83">
        <f>G60*100/B60</f>
        <v>0</v>
      </c>
      <c r="J60" s="82">
        <f>G60-F60</f>
        <v>0</v>
      </c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95"/>
      <c r="AB60" s="95"/>
      <c r="AC60" s="95"/>
      <c r="AD60" s="95"/>
      <c r="AE60" s="95"/>
      <c r="AF60" s="95"/>
      <c r="AG60" s="95"/>
      <c r="AH60" s="94"/>
      <c r="AI60" s="93"/>
    </row>
    <row r="61" spans="1:35" s="92" customFormat="1" ht="57" customHeight="1">
      <c r="A61" s="89" t="s">
        <v>59</v>
      </c>
      <c r="B61" s="97">
        <v>0</v>
      </c>
      <c r="C61" s="97"/>
      <c r="D61" s="88">
        <f>E61+G61</f>
        <v>3156.6</v>
      </c>
      <c r="E61" s="87"/>
      <c r="F61" s="97">
        <v>0</v>
      </c>
      <c r="G61" s="99">
        <v>3156.6</v>
      </c>
      <c r="H61" s="98"/>
      <c r="I61" s="83">
        <v>0</v>
      </c>
      <c r="J61" s="82">
        <f>G61-F61</f>
        <v>3156.6</v>
      </c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4"/>
      <c r="AI61" s="93"/>
    </row>
    <row r="62" spans="1:35" s="92" customFormat="1" ht="66" hidden="1" customHeight="1">
      <c r="A62" s="89" t="s">
        <v>58</v>
      </c>
      <c r="B62" s="97"/>
      <c r="C62" s="97">
        <v>114.9</v>
      </c>
      <c r="D62" s="88">
        <f>E62+G62</f>
        <v>0</v>
      </c>
      <c r="E62" s="87"/>
      <c r="F62" s="97"/>
      <c r="G62" s="87">
        <f>SUM(K62:AH62)</f>
        <v>0</v>
      </c>
      <c r="H62" s="96"/>
      <c r="I62" s="83" t="e">
        <f>G62*100/B62</f>
        <v>#DIV/0!</v>
      </c>
      <c r="J62" s="82">
        <f>G62-F62</f>
        <v>0</v>
      </c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4"/>
      <c r="AI62" s="93"/>
    </row>
    <row r="63" spans="1:35" s="78" customFormat="1" ht="66" hidden="1" customHeight="1">
      <c r="A63" s="91" t="s">
        <v>57</v>
      </c>
      <c r="B63" s="86"/>
      <c r="C63" s="86"/>
      <c r="D63" s="88">
        <f>E63+G63</f>
        <v>0</v>
      </c>
      <c r="E63" s="87"/>
      <c r="F63" s="86"/>
      <c r="G63" s="88">
        <f>SUM(K63:AH63)</f>
        <v>0</v>
      </c>
      <c r="H63" s="90"/>
      <c r="I63" s="83" t="e">
        <f>G63*100/B63</f>
        <v>#DIV/0!</v>
      </c>
      <c r="J63" s="82">
        <f>G63-F63</f>
        <v>0</v>
      </c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0"/>
      <c r="AI63" s="79"/>
    </row>
    <row r="64" spans="1:35" s="78" customFormat="1" ht="63.75" hidden="1" customHeight="1">
      <c r="A64" s="89" t="s">
        <v>56</v>
      </c>
      <c r="B64" s="86"/>
      <c r="C64" s="86"/>
      <c r="D64" s="88">
        <f>E64+G64</f>
        <v>0</v>
      </c>
      <c r="E64" s="87"/>
      <c r="F64" s="86"/>
      <c r="G64" s="88">
        <f>SUM(K64:AH64)</f>
        <v>0</v>
      </c>
      <c r="H64" s="90"/>
      <c r="I64" s="83" t="e">
        <f>G64*100/B64</f>
        <v>#DIV/0!</v>
      </c>
      <c r="J64" s="82">
        <f>G64-F64</f>
        <v>0</v>
      </c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0"/>
      <c r="AI64" s="79"/>
    </row>
    <row r="65" spans="1:35" s="78" customFormat="1" ht="63.75" customHeight="1">
      <c r="A65" s="89" t="s">
        <v>55</v>
      </c>
      <c r="B65" s="86">
        <v>0</v>
      </c>
      <c r="C65" s="86"/>
      <c r="D65" s="88"/>
      <c r="E65" s="87"/>
      <c r="F65" s="86">
        <v>0</v>
      </c>
      <c r="G65" s="85">
        <v>15122.6</v>
      </c>
      <c r="H65" s="90"/>
      <c r="I65" s="83">
        <v>0</v>
      </c>
      <c r="J65" s="82">
        <f>G65-F65</f>
        <v>15122.6</v>
      </c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0"/>
      <c r="AI65" s="79"/>
    </row>
    <row r="66" spans="1:35" s="78" customFormat="1" ht="54.75" customHeight="1">
      <c r="A66" s="89" t="s">
        <v>54</v>
      </c>
      <c r="B66" s="86">
        <v>0</v>
      </c>
      <c r="C66" s="86"/>
      <c r="D66" s="88">
        <f>E66+G66</f>
        <v>4.5</v>
      </c>
      <c r="E66" s="87"/>
      <c r="F66" s="86">
        <v>0</v>
      </c>
      <c r="G66" s="85">
        <v>4.5</v>
      </c>
      <c r="H66" s="84"/>
      <c r="I66" s="83">
        <v>0</v>
      </c>
      <c r="J66" s="82">
        <f>G66-F66</f>
        <v>4.5</v>
      </c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0"/>
      <c r="AI66" s="79"/>
    </row>
    <row r="67" spans="1:35">
      <c r="B67" s="76"/>
      <c r="C67" s="76"/>
      <c r="D67" s="76"/>
      <c r="E67" s="76"/>
      <c r="F67" s="76"/>
      <c r="G67" s="77"/>
      <c r="H67" s="76"/>
      <c r="I67" s="76"/>
    </row>
    <row r="68" spans="1:35">
      <c r="B68" s="76"/>
      <c r="C68" s="76"/>
      <c r="D68" s="76"/>
      <c r="E68" s="76"/>
      <c r="F68" s="76"/>
      <c r="G68" s="77"/>
      <c r="H68" s="76"/>
      <c r="I68" s="76"/>
      <c r="J68" s="74">
        <v>1</v>
      </c>
    </row>
    <row r="69" spans="1:35">
      <c r="B69" s="76"/>
      <c r="C69" s="76"/>
      <c r="D69" s="76"/>
      <c r="E69" s="76"/>
      <c r="F69" s="76"/>
      <c r="G69" s="77"/>
      <c r="H69" s="76"/>
      <c r="I69" s="76"/>
    </row>
    <row r="70" spans="1:35">
      <c r="B70" s="76"/>
      <c r="C70" s="76"/>
      <c r="D70" s="76"/>
      <c r="E70" s="76"/>
      <c r="F70" s="76"/>
      <c r="G70" s="77"/>
      <c r="H70" s="76"/>
      <c r="I70" s="76"/>
    </row>
    <row r="71" spans="1:35">
      <c r="B71" s="76"/>
      <c r="C71" s="76"/>
      <c r="D71" s="76"/>
      <c r="E71" s="76"/>
      <c r="F71" s="76"/>
      <c r="G71" s="77"/>
      <c r="H71" s="76"/>
      <c r="I71" s="76"/>
    </row>
    <row r="72" spans="1:35">
      <c r="B72" s="76"/>
      <c r="C72" s="76"/>
      <c r="D72" s="76"/>
      <c r="E72" s="76"/>
      <c r="F72" s="76"/>
      <c r="G72" s="77"/>
      <c r="H72" s="76"/>
      <c r="I72" s="76"/>
    </row>
    <row r="73" spans="1:35">
      <c r="B73" s="76"/>
      <c r="C73" s="76"/>
      <c r="D73" s="76"/>
      <c r="E73" s="76"/>
      <c r="F73" s="76"/>
      <c r="G73" s="77"/>
      <c r="H73" s="76"/>
      <c r="I73" s="76"/>
    </row>
    <row r="74" spans="1:35">
      <c r="B74" s="76"/>
      <c r="C74" s="76"/>
      <c r="D74" s="76"/>
      <c r="E74" s="76"/>
      <c r="F74" s="76"/>
      <c r="G74" s="77"/>
      <c r="H74" s="76"/>
      <c r="I74" s="76"/>
    </row>
    <row r="75" spans="1:35">
      <c r="B75" s="76"/>
      <c r="C75" s="76"/>
      <c r="D75" s="76"/>
      <c r="E75" s="76"/>
      <c r="F75" s="76"/>
      <c r="G75" s="77"/>
      <c r="H75" s="76"/>
      <c r="I75" s="76"/>
    </row>
    <row r="76" spans="1:35">
      <c r="B76" s="76"/>
      <c r="C76" s="76"/>
      <c r="D76" s="76"/>
      <c r="E76" s="76"/>
      <c r="F76" s="76"/>
      <c r="G76" s="77"/>
      <c r="H76" s="76"/>
      <c r="I76" s="76"/>
    </row>
    <row r="77" spans="1:35">
      <c r="B77" s="76"/>
      <c r="C77" s="76"/>
      <c r="D77" s="76"/>
      <c r="E77" s="76"/>
      <c r="F77" s="76"/>
      <c r="G77" s="77"/>
      <c r="H77" s="76"/>
      <c r="I77" s="76"/>
    </row>
    <row r="78" spans="1:35">
      <c r="B78" s="76"/>
      <c r="C78" s="76"/>
      <c r="D78" s="76"/>
      <c r="E78" s="76"/>
      <c r="F78" s="76"/>
      <c r="G78" s="77"/>
      <c r="H78" s="76"/>
      <c r="I78" s="76"/>
    </row>
    <row r="79" spans="1:35">
      <c r="B79" s="76"/>
      <c r="C79" s="76"/>
      <c r="D79" s="76"/>
      <c r="E79" s="76"/>
      <c r="F79" s="76"/>
      <c r="G79" s="77"/>
      <c r="H79" s="76"/>
      <c r="I79" s="76"/>
    </row>
    <row r="80" spans="1:35">
      <c r="B80" s="76"/>
      <c r="C80" s="76"/>
      <c r="D80" s="76"/>
      <c r="E80" s="76"/>
      <c r="F80" s="76"/>
      <c r="G80" s="77"/>
      <c r="H80" s="76"/>
      <c r="I80" s="76"/>
    </row>
    <row r="81" spans="2:9" customFormat="1" ht="40.5">
      <c r="B81" s="76"/>
      <c r="C81" s="76"/>
      <c r="D81" s="76"/>
      <c r="E81" s="76"/>
      <c r="F81" s="76"/>
      <c r="G81" s="77"/>
      <c r="H81" s="76"/>
      <c r="I81" s="76"/>
    </row>
    <row r="82" spans="2:9" customFormat="1" ht="40.5">
      <c r="B82" s="74"/>
      <c r="C82" s="74"/>
      <c r="D82" s="74"/>
      <c r="E82" s="74"/>
      <c r="F82" s="74"/>
      <c r="G82" s="75"/>
      <c r="H82" s="74"/>
      <c r="I82" s="74"/>
    </row>
    <row r="83" spans="2:9" customFormat="1" ht="40.5">
      <c r="B83" s="74"/>
      <c r="C83" s="74"/>
      <c r="D83" s="74"/>
      <c r="E83" s="74"/>
      <c r="F83" s="74"/>
      <c r="G83" s="75"/>
      <c r="H83" s="74"/>
      <c r="I83" s="74"/>
    </row>
    <row r="84" spans="2:9" customFormat="1" ht="40.5">
      <c r="B84" s="74"/>
      <c r="C84" s="74"/>
      <c r="D84" s="74"/>
      <c r="E84" s="74"/>
      <c r="F84" s="74"/>
      <c r="G84" s="75"/>
      <c r="H84" s="74"/>
      <c r="I84" s="74"/>
    </row>
    <row r="85" spans="2:9" customFormat="1" ht="40.5">
      <c r="B85" s="74"/>
      <c r="C85" s="74"/>
      <c r="D85" s="74"/>
      <c r="E85" s="74"/>
      <c r="F85" s="74"/>
      <c r="G85" s="75"/>
      <c r="H85" s="74"/>
      <c r="I85" s="74"/>
    </row>
    <row r="86" spans="2:9" customFormat="1" ht="40.5">
      <c r="B86" s="74"/>
      <c r="C86" s="74"/>
      <c r="D86" s="74"/>
      <c r="E86" s="74"/>
      <c r="F86" s="74"/>
      <c r="G86" s="75"/>
      <c r="H86" s="74"/>
      <c r="I86" s="74"/>
    </row>
    <row r="87" spans="2:9" customFormat="1" ht="40.5">
      <c r="B87" s="74"/>
      <c r="C87" s="74"/>
      <c r="D87" s="74"/>
      <c r="E87" s="74"/>
      <c r="F87" s="74"/>
      <c r="G87" s="75"/>
      <c r="H87" s="74"/>
      <c r="I87" s="74"/>
    </row>
    <row r="88" spans="2:9" customFormat="1" ht="40.5">
      <c r="B88" s="74"/>
      <c r="C88" s="74"/>
      <c r="D88" s="74"/>
      <c r="E88" s="74"/>
      <c r="F88" s="74"/>
      <c r="G88" s="75"/>
      <c r="H88" s="74"/>
      <c r="I88" s="74"/>
    </row>
    <row r="89" spans="2:9" customFormat="1" ht="40.5">
      <c r="B89" s="74"/>
      <c r="C89" s="74"/>
      <c r="D89" s="74"/>
      <c r="E89" s="74"/>
      <c r="F89" s="74"/>
      <c r="G89" s="75"/>
      <c r="H89" s="74"/>
      <c r="I89" s="74"/>
    </row>
    <row r="90" spans="2:9" customFormat="1" ht="40.5">
      <c r="B90" s="74"/>
      <c r="C90" s="74"/>
      <c r="D90" s="74"/>
      <c r="E90" s="74"/>
      <c r="F90" s="74"/>
      <c r="G90" s="75"/>
      <c r="H90" s="74"/>
      <c r="I90" s="74"/>
    </row>
    <row r="91" spans="2:9" customFormat="1" ht="40.5">
      <c r="B91" s="74"/>
      <c r="C91" s="74"/>
      <c r="D91" s="74"/>
      <c r="E91" s="74"/>
      <c r="F91" s="74"/>
      <c r="G91" s="75"/>
      <c r="H91" s="74"/>
      <c r="I91" s="74"/>
    </row>
    <row r="92" spans="2:9" customFormat="1" ht="40.5">
      <c r="B92" s="74"/>
      <c r="C92" s="74"/>
      <c r="D92" s="74"/>
      <c r="E92" s="74"/>
      <c r="F92" s="74"/>
      <c r="G92" s="75"/>
      <c r="H92" s="74"/>
      <c r="I92" s="74"/>
    </row>
    <row r="93" spans="2:9" customFormat="1" ht="40.5">
      <c r="B93" s="74"/>
      <c r="C93" s="74"/>
      <c r="D93" s="74"/>
      <c r="E93" s="74"/>
      <c r="F93" s="74"/>
      <c r="G93" s="75"/>
      <c r="H93" s="74"/>
      <c r="I93" s="74"/>
    </row>
    <row r="94" spans="2:9" customFormat="1" ht="40.5">
      <c r="B94" s="74"/>
      <c r="C94" s="74"/>
      <c r="D94" s="74"/>
      <c r="E94" s="74"/>
      <c r="F94" s="74"/>
      <c r="G94" s="75"/>
      <c r="H94" s="74"/>
      <c r="I94" s="74"/>
    </row>
    <row r="95" spans="2:9" customFormat="1" ht="40.5">
      <c r="B95" s="74"/>
      <c r="C95" s="74"/>
      <c r="D95" s="74"/>
      <c r="E95" s="74"/>
      <c r="F95" s="74"/>
      <c r="G95" s="75"/>
      <c r="H95" s="74"/>
      <c r="I95" s="74"/>
    </row>
    <row r="96" spans="2:9" customFormat="1" ht="40.5">
      <c r="B96" s="74"/>
      <c r="C96" s="74"/>
      <c r="D96" s="74"/>
      <c r="E96" s="74"/>
      <c r="F96" s="74"/>
      <c r="G96" s="75"/>
      <c r="H96" s="74"/>
      <c r="I96" s="74"/>
    </row>
    <row r="97" spans="7:7" customFormat="1" ht="40.5">
      <c r="G97" s="75"/>
    </row>
    <row r="98" spans="7:7" customFormat="1" ht="40.5">
      <c r="G98" s="75"/>
    </row>
    <row r="99" spans="7:7" customFormat="1" ht="40.5">
      <c r="G99" s="75"/>
    </row>
    <row r="100" spans="7:7" customFormat="1" ht="40.5">
      <c r="G100" s="75"/>
    </row>
    <row r="101" spans="7:7" customFormat="1" ht="40.5">
      <c r="G101" s="75"/>
    </row>
    <row r="102" spans="7:7" customFormat="1" ht="40.5">
      <c r="G102" s="75"/>
    </row>
    <row r="103" spans="7:7" customFormat="1" ht="40.5">
      <c r="G103" s="75"/>
    </row>
    <row r="104" spans="7:7" customFormat="1" ht="40.5">
      <c r="G104" s="75"/>
    </row>
    <row r="105" spans="7:7" customFormat="1" ht="40.5">
      <c r="G105" s="75"/>
    </row>
    <row r="106" spans="7:7" customFormat="1" ht="40.5">
      <c r="G106" s="75"/>
    </row>
    <row r="107" spans="7:7" customFormat="1" ht="40.5">
      <c r="G107" s="75"/>
    </row>
    <row r="108" spans="7:7" customFormat="1" ht="40.5">
      <c r="G108" s="75"/>
    </row>
    <row r="109" spans="7:7" customFormat="1" ht="40.5">
      <c r="G109" s="75"/>
    </row>
    <row r="110" spans="7:7" customFormat="1" ht="40.5">
      <c r="G110" s="75"/>
    </row>
    <row r="111" spans="7:7" customFormat="1" ht="40.5">
      <c r="G111" s="75"/>
    </row>
    <row r="112" spans="7:7" customFormat="1" ht="40.5">
      <c r="G112" s="75"/>
    </row>
    <row r="113" spans="7:7" customFormat="1" ht="40.5">
      <c r="G113" s="75"/>
    </row>
    <row r="114" spans="7:7" customFormat="1" ht="40.5">
      <c r="G114" s="75"/>
    </row>
    <row r="115" spans="7:7" customFormat="1" ht="40.5">
      <c r="G115" s="75"/>
    </row>
    <row r="116" spans="7:7" customFormat="1" ht="40.5">
      <c r="G116" s="75"/>
    </row>
    <row r="117" spans="7:7" customFormat="1" ht="40.5">
      <c r="G117" s="75"/>
    </row>
    <row r="118" spans="7:7" customFormat="1" ht="40.5">
      <c r="G118" s="75"/>
    </row>
    <row r="119" spans="7:7" customFormat="1" ht="40.5">
      <c r="G119" s="75"/>
    </row>
    <row r="120" spans="7:7" customFormat="1" ht="40.5">
      <c r="G120" s="75"/>
    </row>
    <row r="121" spans="7:7" customFormat="1" ht="40.5">
      <c r="G121" s="75"/>
    </row>
    <row r="122" spans="7:7" customFormat="1" ht="40.5">
      <c r="G122" s="75"/>
    </row>
    <row r="123" spans="7:7" customFormat="1" ht="40.5">
      <c r="G123" s="75"/>
    </row>
    <row r="124" spans="7:7" customFormat="1" ht="40.5">
      <c r="G124" s="75"/>
    </row>
    <row r="125" spans="7:7" customFormat="1" ht="40.5">
      <c r="G125" s="75"/>
    </row>
    <row r="126" spans="7:7" customFormat="1" ht="40.5">
      <c r="G126" s="75"/>
    </row>
    <row r="127" spans="7:7" customFormat="1" ht="40.5">
      <c r="G127" s="75"/>
    </row>
    <row r="128" spans="7:7" customFormat="1" ht="40.5">
      <c r="G128" s="75"/>
    </row>
    <row r="129" spans="7:7" customFormat="1" ht="40.5">
      <c r="G129" s="75"/>
    </row>
    <row r="130" spans="7:7" customFormat="1" ht="40.5">
      <c r="G130" s="75"/>
    </row>
    <row r="131" spans="7:7" customFormat="1" ht="40.5">
      <c r="G131" s="75"/>
    </row>
    <row r="132" spans="7:7" customFormat="1" ht="40.5">
      <c r="G132" s="75"/>
    </row>
    <row r="133" spans="7:7" customFormat="1" ht="40.5">
      <c r="G133" s="75"/>
    </row>
    <row r="134" spans="7:7" customFormat="1" ht="40.5">
      <c r="G134" s="75"/>
    </row>
    <row r="135" spans="7:7" customFormat="1" ht="40.5">
      <c r="G135" s="75"/>
    </row>
    <row r="136" spans="7:7" customFormat="1" ht="40.5">
      <c r="G136" s="75"/>
    </row>
    <row r="137" spans="7:7" customFormat="1" ht="40.5">
      <c r="G137" s="75"/>
    </row>
    <row r="138" spans="7:7" customFormat="1" ht="40.5">
      <c r="G138" s="75"/>
    </row>
    <row r="139" spans="7:7" customFormat="1" ht="40.5">
      <c r="G139" s="75"/>
    </row>
    <row r="140" spans="7:7" customFormat="1" ht="40.5">
      <c r="G140" s="75"/>
    </row>
    <row r="141" spans="7:7" customFormat="1" ht="40.5">
      <c r="G141" s="75"/>
    </row>
    <row r="142" spans="7:7" customFormat="1" ht="40.5">
      <c r="G142" s="75"/>
    </row>
    <row r="143" spans="7:7" customFormat="1" ht="40.5">
      <c r="G143" s="75"/>
    </row>
    <row r="144" spans="7:7" customFormat="1" ht="40.5">
      <c r="G144" s="75"/>
    </row>
    <row r="145" spans="7:7" customFormat="1" ht="40.5">
      <c r="G145" s="75"/>
    </row>
    <row r="146" spans="7:7" customFormat="1" ht="40.5">
      <c r="G146" s="75"/>
    </row>
    <row r="147" spans="7:7" customFormat="1" ht="40.5">
      <c r="G147" s="75"/>
    </row>
    <row r="148" spans="7:7" customFormat="1" ht="40.5">
      <c r="G148" s="75"/>
    </row>
    <row r="149" spans="7:7" customFormat="1" ht="40.5">
      <c r="G149" s="75"/>
    </row>
    <row r="150" spans="7:7" customFormat="1" ht="40.5">
      <c r="G150" s="75"/>
    </row>
    <row r="151" spans="7:7" customFormat="1" ht="40.5">
      <c r="G151" s="75"/>
    </row>
    <row r="152" spans="7:7" customFormat="1" ht="40.5">
      <c r="G152" s="75"/>
    </row>
    <row r="153" spans="7:7" customFormat="1" ht="40.5">
      <c r="G153" s="75"/>
    </row>
    <row r="154" spans="7:7" customFormat="1" ht="40.5">
      <c r="G154" s="75"/>
    </row>
    <row r="155" spans="7:7" customFormat="1" ht="40.5">
      <c r="G155" s="75"/>
    </row>
    <row r="156" spans="7:7" customFormat="1" ht="40.5">
      <c r="G156" s="75"/>
    </row>
    <row r="157" spans="7:7" customFormat="1" ht="40.5">
      <c r="G157" s="75"/>
    </row>
    <row r="158" spans="7:7" customFormat="1" ht="40.5">
      <c r="G158" s="75"/>
    </row>
    <row r="159" spans="7:7" customFormat="1" ht="40.5">
      <c r="G159" s="75"/>
    </row>
    <row r="160" spans="7:7" customFormat="1" ht="40.5">
      <c r="G160" s="75"/>
    </row>
    <row r="161" spans="7:7" customFormat="1" ht="40.5">
      <c r="G161" s="75"/>
    </row>
    <row r="162" spans="7:7" customFormat="1" ht="40.5">
      <c r="G162" s="75"/>
    </row>
    <row r="163" spans="7:7" customFormat="1" ht="40.5">
      <c r="G163" s="75"/>
    </row>
    <row r="164" spans="7:7" customFormat="1" ht="40.5">
      <c r="G164" s="75"/>
    </row>
    <row r="165" spans="7:7" customFormat="1" ht="40.5">
      <c r="G165" s="75"/>
    </row>
    <row r="166" spans="7:7" customFormat="1" ht="40.5">
      <c r="G166" s="75"/>
    </row>
    <row r="167" spans="7:7" customFormat="1" ht="40.5">
      <c r="G167" s="75"/>
    </row>
    <row r="168" spans="7:7" customFormat="1" ht="40.5">
      <c r="G168" s="75"/>
    </row>
    <row r="169" spans="7:7" customFormat="1" ht="40.5">
      <c r="G169" s="75"/>
    </row>
    <row r="170" spans="7:7" customFormat="1" ht="40.5">
      <c r="G170" s="75"/>
    </row>
    <row r="171" spans="7:7" customFormat="1" ht="40.5">
      <c r="G171" s="75"/>
    </row>
    <row r="172" spans="7:7" customFormat="1" ht="40.5">
      <c r="G172" s="75"/>
    </row>
    <row r="173" spans="7:7" customFormat="1" ht="40.5">
      <c r="G173" s="75"/>
    </row>
    <row r="174" spans="7:7" customFormat="1" ht="40.5">
      <c r="G174" s="75"/>
    </row>
    <row r="175" spans="7:7" customFormat="1" ht="40.5">
      <c r="G175" s="75"/>
    </row>
    <row r="176" spans="7:7" customFormat="1" ht="40.5">
      <c r="G176" s="75"/>
    </row>
    <row r="177" spans="7:7" customFormat="1" ht="40.5">
      <c r="G177" s="75"/>
    </row>
    <row r="178" spans="7:7" customFormat="1" ht="40.5">
      <c r="G178" s="75"/>
    </row>
    <row r="179" spans="7:7" customFormat="1" ht="40.5">
      <c r="G179" s="75"/>
    </row>
    <row r="180" spans="7:7" customFormat="1" ht="40.5">
      <c r="G180" s="75"/>
    </row>
    <row r="181" spans="7:7" customFormat="1" ht="40.5">
      <c r="G181" s="75"/>
    </row>
    <row r="182" spans="7:7" customFormat="1" ht="40.5">
      <c r="G182" s="75"/>
    </row>
    <row r="183" spans="7:7" customFormat="1" ht="40.5">
      <c r="G183" s="75"/>
    </row>
    <row r="184" spans="7:7" customFormat="1" ht="40.5">
      <c r="G184" s="75"/>
    </row>
    <row r="185" spans="7:7" customFormat="1" ht="40.5">
      <c r="G185" s="75"/>
    </row>
    <row r="186" spans="7:7" customFormat="1" ht="40.5">
      <c r="G186" s="75"/>
    </row>
  </sheetData>
  <mergeCells count="1">
    <mergeCell ref="A1:J1"/>
  </mergeCells>
  <pageMargins left="0.82677165354330717" right="0" top="0" bottom="0" header="0.55118110236220474" footer="0.23622047244094491"/>
  <pageSetup paperSize="9" scale="1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V166"/>
  <sheetViews>
    <sheetView tabSelected="1" view="pageBreakPreview" topLeftCell="A46" zoomScale="90" zoomScaleSheetLayoutView="90" workbookViewId="0">
      <selection activeCell="C68" sqref="C68"/>
    </sheetView>
  </sheetViews>
  <sheetFormatPr defaultRowHeight="12.75"/>
  <cols>
    <col min="1" max="1" width="87.85546875" style="9" customWidth="1"/>
    <col min="2" max="2" width="23.7109375" style="10" customWidth="1"/>
    <col min="3" max="3" width="24.42578125" style="7" customWidth="1"/>
    <col min="4" max="4" width="22.7109375" style="7" customWidth="1"/>
    <col min="5" max="6" width="9.140625" style="1" customWidth="1"/>
    <col min="7" max="16384" width="9.140625" style="1"/>
  </cols>
  <sheetData>
    <row r="1" spans="1:4" ht="18.75" customHeight="1">
      <c r="A1" s="68" t="s">
        <v>53</v>
      </c>
      <c r="B1" s="68"/>
      <c r="C1" s="68"/>
      <c r="D1" s="68"/>
    </row>
    <row r="2" spans="1:4" ht="12.75" customHeight="1">
      <c r="A2" s="14"/>
      <c r="B2" s="15"/>
      <c r="C2" s="15"/>
      <c r="D2" s="5" t="s">
        <v>40</v>
      </c>
    </row>
    <row r="3" spans="1:4" ht="42" customHeight="1">
      <c r="A3" s="16" t="s">
        <v>0</v>
      </c>
      <c r="B3" s="17" t="s">
        <v>49</v>
      </c>
      <c r="C3" s="17" t="s">
        <v>52</v>
      </c>
      <c r="D3" s="17" t="s">
        <v>1</v>
      </c>
    </row>
    <row r="4" spans="1:4" ht="25.5" customHeight="1">
      <c r="A4" s="18" t="s">
        <v>2</v>
      </c>
      <c r="B4" s="55">
        <f>13174391.6-B5</f>
        <v>3855775.9000000004</v>
      </c>
      <c r="C4" s="55">
        <f>10682191.6-C5</f>
        <v>3302047.6999999993</v>
      </c>
      <c r="D4" s="19">
        <f t="shared" ref="D4:D14" si="0">C4/B4*100</f>
        <v>85.638994216442896</v>
      </c>
    </row>
    <row r="5" spans="1:4" ht="26.25" customHeight="1">
      <c r="A5" s="18" t="s">
        <v>43</v>
      </c>
      <c r="B5" s="55">
        <f>SUM(B6:B12)</f>
        <v>9318615.6999999993</v>
      </c>
      <c r="C5" s="55">
        <f>SUM(C6:C12)</f>
        <v>7380143.9000000004</v>
      </c>
      <c r="D5" s="19">
        <f>C5/B5*100</f>
        <v>79.197856608680624</v>
      </c>
    </row>
    <row r="6" spans="1:4" ht="21" customHeight="1">
      <c r="A6" s="21" t="s">
        <v>3</v>
      </c>
      <c r="B6" s="22">
        <v>4772832.7</v>
      </c>
      <c r="C6" s="22">
        <v>4338984.5</v>
      </c>
      <c r="D6" s="20">
        <f t="shared" si="0"/>
        <v>90.910048030805683</v>
      </c>
    </row>
    <row r="7" spans="1:4" ht="21.75" customHeight="1">
      <c r="A7" s="21" t="s">
        <v>4</v>
      </c>
      <c r="B7" s="22">
        <v>4304386</v>
      </c>
      <c r="C7" s="22">
        <v>2775616.5</v>
      </c>
      <c r="D7" s="20">
        <f>C7/B7*100</f>
        <v>64.483447813462817</v>
      </c>
    </row>
    <row r="8" spans="1:4" ht="24.75" customHeight="1">
      <c r="A8" s="21" t="s">
        <v>20</v>
      </c>
      <c r="B8" s="22">
        <v>134232.1</v>
      </c>
      <c r="C8" s="22">
        <v>174160.5</v>
      </c>
      <c r="D8" s="20">
        <f t="shared" si="0"/>
        <v>129.74579105891959</v>
      </c>
    </row>
    <row r="9" spans="1:4" ht="18.75">
      <c r="A9" s="23" t="s">
        <v>45</v>
      </c>
      <c r="B9" s="22">
        <v>107246.8</v>
      </c>
      <c r="C9" s="22">
        <v>99769.5</v>
      </c>
      <c r="D9" s="20">
        <f t="shared" si="0"/>
        <v>93.027950484303489</v>
      </c>
    </row>
    <row r="10" spans="1:4" ht="24" customHeight="1">
      <c r="A10" s="21" t="s">
        <v>46</v>
      </c>
      <c r="B10" s="22">
        <v>0</v>
      </c>
      <c r="C10" s="22">
        <v>250</v>
      </c>
      <c r="D10" s="20"/>
    </row>
    <row r="11" spans="1:4" ht="93.75" hidden="1">
      <c r="A11" s="23" t="s">
        <v>48</v>
      </c>
      <c r="B11" s="22"/>
      <c r="C11" s="22"/>
      <c r="D11" s="20"/>
    </row>
    <row r="12" spans="1:4" ht="61.5" customHeight="1">
      <c r="A12" s="21" t="s">
        <v>21</v>
      </c>
      <c r="B12" s="22">
        <v>-81.900000000000006</v>
      </c>
      <c r="C12" s="22">
        <v>-8637.1</v>
      </c>
      <c r="D12" s="20">
        <f t="shared" si="0"/>
        <v>10545.909645909645</v>
      </c>
    </row>
    <row r="13" spans="1:4" ht="24" customHeight="1">
      <c r="A13" s="24" t="s">
        <v>5</v>
      </c>
      <c r="B13" s="25">
        <f>SUM(B4:B5)</f>
        <v>13174391.6</v>
      </c>
      <c r="C13" s="25">
        <f>SUM(C4:C5)</f>
        <v>10682191.6</v>
      </c>
      <c r="D13" s="25">
        <f t="shared" si="0"/>
        <v>81.082997411432643</v>
      </c>
    </row>
    <row r="14" spans="1:4" ht="0.75" customHeight="1">
      <c r="A14" s="18"/>
      <c r="B14" s="25"/>
      <c r="C14" s="65"/>
      <c r="D14" s="25" t="e">
        <f t="shared" si="0"/>
        <v>#DIV/0!</v>
      </c>
    </row>
    <row r="15" spans="1:4" ht="12.75" customHeight="1">
      <c r="A15" s="18"/>
      <c r="B15" s="26"/>
      <c r="C15" s="19"/>
      <c r="D15" s="26"/>
    </row>
    <row r="16" spans="1:4" ht="18.75">
      <c r="A16" s="16" t="s">
        <v>6</v>
      </c>
      <c r="B16" s="27"/>
      <c r="C16" s="27"/>
      <c r="D16" s="27"/>
    </row>
    <row r="17" spans="1:4" ht="18.75">
      <c r="A17" s="28" t="s">
        <v>7</v>
      </c>
      <c r="B17" s="56">
        <v>853959.9</v>
      </c>
      <c r="C17" s="56">
        <v>744838.2</v>
      </c>
      <c r="D17" s="26">
        <f t="shared" ref="D17:D21" si="1">C17/B17*100</f>
        <v>87.221683360073456</v>
      </c>
    </row>
    <row r="18" spans="1:4" ht="18.75">
      <c r="A18" s="29" t="s">
        <v>32</v>
      </c>
      <c r="B18" s="22">
        <f>B17-B20</f>
        <v>820698.5</v>
      </c>
      <c r="C18" s="22">
        <f>C17-C20</f>
        <v>716574.6</v>
      </c>
      <c r="D18" s="30">
        <f t="shared" si="1"/>
        <v>87.312770767827644</v>
      </c>
    </row>
    <row r="19" spans="1:4" ht="18.75">
      <c r="A19" s="31" t="s">
        <v>33</v>
      </c>
      <c r="B19" s="22">
        <v>2432.9</v>
      </c>
      <c r="C19" s="22">
        <v>0</v>
      </c>
      <c r="D19" s="30">
        <v>0</v>
      </c>
    </row>
    <row r="20" spans="1:4" ht="18.75">
      <c r="A20" s="29" t="s">
        <v>31</v>
      </c>
      <c r="B20" s="22">
        <v>33261.4</v>
      </c>
      <c r="C20" s="22">
        <v>28263.599999999999</v>
      </c>
      <c r="D20" s="30">
        <f t="shared" si="1"/>
        <v>84.974174268070485</v>
      </c>
    </row>
    <row r="21" spans="1:4" s="8" customFormat="1" ht="18.75">
      <c r="A21" s="32" t="s">
        <v>8</v>
      </c>
      <c r="B21" s="56">
        <v>139</v>
      </c>
      <c r="C21" s="56">
        <v>111.5</v>
      </c>
      <c r="D21" s="33">
        <f t="shared" si="1"/>
        <v>80.2158273381295</v>
      </c>
    </row>
    <row r="22" spans="1:4" s="8" customFormat="1" ht="39" customHeight="1">
      <c r="A22" s="32" t="s">
        <v>9</v>
      </c>
      <c r="B22" s="56">
        <v>191471.4</v>
      </c>
      <c r="C22" s="56">
        <v>149469.20000000001</v>
      </c>
      <c r="D22" s="33">
        <f t="shared" ref="D22:D29" si="2">C22/B22*100</f>
        <v>78.063460130338015</v>
      </c>
    </row>
    <row r="23" spans="1:4" ht="18.75">
      <c r="A23" s="29" t="s">
        <v>32</v>
      </c>
      <c r="B23" s="22">
        <f>B22-B24</f>
        <v>79791.099999999991</v>
      </c>
      <c r="C23" s="22">
        <f>C22-C24</f>
        <v>69568.200000000012</v>
      </c>
      <c r="D23" s="30">
        <f t="shared" si="2"/>
        <v>87.187919454676049</v>
      </c>
    </row>
    <row r="24" spans="1:4" ht="18.75">
      <c r="A24" s="29" t="s">
        <v>31</v>
      </c>
      <c r="B24" s="22">
        <v>111680.3</v>
      </c>
      <c r="C24" s="22">
        <v>79901</v>
      </c>
      <c r="D24" s="30">
        <v>0</v>
      </c>
    </row>
    <row r="25" spans="1:4" ht="21.75" customHeight="1">
      <c r="A25" s="28" t="s">
        <v>10</v>
      </c>
      <c r="B25" s="56">
        <v>814494.8</v>
      </c>
      <c r="C25" s="56">
        <v>646099.30000000005</v>
      </c>
      <c r="D25" s="34">
        <f t="shared" si="2"/>
        <v>79.325159595862374</v>
      </c>
    </row>
    <row r="26" spans="1:4" ht="18.75">
      <c r="A26" s="29" t="s">
        <v>15</v>
      </c>
      <c r="B26" s="22">
        <f>B25-B27</f>
        <v>437810.50000000006</v>
      </c>
      <c r="C26" s="22">
        <f>C25-C27</f>
        <v>360293.80000000005</v>
      </c>
      <c r="D26" s="30">
        <f t="shared" si="2"/>
        <v>82.294463015391358</v>
      </c>
    </row>
    <row r="27" spans="1:4" ht="18.75">
      <c r="A27" s="29" t="s">
        <v>31</v>
      </c>
      <c r="B27" s="22">
        <v>376684.3</v>
      </c>
      <c r="C27" s="22">
        <v>285805.5</v>
      </c>
      <c r="D27" s="30">
        <f t="shared" si="2"/>
        <v>75.874014393485481</v>
      </c>
    </row>
    <row r="28" spans="1:4" ht="18.75">
      <c r="A28" s="35" t="s">
        <v>11</v>
      </c>
      <c r="B28" s="56">
        <v>4101157.4</v>
      </c>
      <c r="C28" s="56">
        <v>2703897.2</v>
      </c>
      <c r="D28" s="26">
        <f t="shared" si="2"/>
        <v>65.930100610135085</v>
      </c>
    </row>
    <row r="29" spans="1:4" ht="20.25" customHeight="1">
      <c r="A29" s="29" t="s">
        <v>32</v>
      </c>
      <c r="B29" s="22">
        <f>B28-B31</f>
        <v>509679.79999999981</v>
      </c>
      <c r="C29" s="22">
        <f>C28-C31</f>
        <v>413311</v>
      </c>
      <c r="D29" s="20">
        <f t="shared" si="2"/>
        <v>81.092285784133523</v>
      </c>
    </row>
    <row r="30" spans="1:4" ht="47.25" customHeight="1">
      <c r="A30" s="36" t="s">
        <v>41</v>
      </c>
      <c r="B30" s="22">
        <v>204508.1</v>
      </c>
      <c r="C30" s="22">
        <v>158781</v>
      </c>
      <c r="D30" s="20">
        <f>C30/B30*100</f>
        <v>77.640445537365025</v>
      </c>
    </row>
    <row r="31" spans="1:4" ht="20.25" customHeight="1">
      <c r="A31" s="29" t="s">
        <v>31</v>
      </c>
      <c r="B31" s="63">
        <v>3591477.6</v>
      </c>
      <c r="C31" s="22">
        <v>2290586.2000000002</v>
      </c>
      <c r="D31" s="20">
        <f>C31/B31*100</f>
        <v>63.778379127298464</v>
      </c>
    </row>
    <row r="32" spans="1:4" ht="21" customHeight="1">
      <c r="A32" s="28" t="s">
        <v>13</v>
      </c>
      <c r="B32" s="56">
        <v>247.7</v>
      </c>
      <c r="C32" s="56">
        <v>182.7</v>
      </c>
      <c r="D32" s="26">
        <f>C32/B32*100</f>
        <v>73.758578926120308</v>
      </c>
    </row>
    <row r="33" spans="1:4" ht="19.5" customHeight="1">
      <c r="A33" s="37" t="s">
        <v>14</v>
      </c>
      <c r="B33" s="56">
        <v>4409380.0999999996</v>
      </c>
      <c r="C33" s="56">
        <v>3994219.7</v>
      </c>
      <c r="D33" s="19">
        <f t="shared" ref="D33:D42" si="3">C33/B33*100</f>
        <v>90.584608480452857</v>
      </c>
    </row>
    <row r="34" spans="1:4" ht="18.75">
      <c r="A34" s="29" t="s">
        <v>15</v>
      </c>
      <c r="B34" s="22">
        <f>B33-B35</f>
        <v>1233555.7999999998</v>
      </c>
      <c r="C34" s="22">
        <f>C33-C35</f>
        <v>1128442.3000000003</v>
      </c>
      <c r="D34" s="20">
        <f t="shared" si="3"/>
        <v>91.478820820266122</v>
      </c>
    </row>
    <row r="35" spans="1:4" ht="18.75">
      <c r="A35" s="29" t="s">
        <v>31</v>
      </c>
      <c r="B35" s="22">
        <v>3175824.3</v>
      </c>
      <c r="C35" s="22">
        <v>2865777.4</v>
      </c>
      <c r="D35" s="20">
        <f t="shared" si="3"/>
        <v>90.237277924978414</v>
      </c>
    </row>
    <row r="36" spans="1:4" ht="24" customHeight="1">
      <c r="A36" s="28" t="s">
        <v>22</v>
      </c>
      <c r="B36" s="56">
        <v>567893.80000000005</v>
      </c>
      <c r="C36" s="56">
        <v>466569.6</v>
      </c>
      <c r="D36" s="26">
        <f t="shared" si="3"/>
        <v>82.157896423591865</v>
      </c>
    </row>
    <row r="37" spans="1:4" ht="18.75">
      <c r="A37" s="29" t="s">
        <v>15</v>
      </c>
      <c r="B37" s="22">
        <f>B36-B38</f>
        <v>434891.30000000005</v>
      </c>
      <c r="C37" s="22">
        <f>C36-C38</f>
        <v>392492.19999999995</v>
      </c>
      <c r="D37" s="30">
        <f t="shared" si="3"/>
        <v>90.250644241446068</v>
      </c>
    </row>
    <row r="38" spans="1:4" ht="18.75">
      <c r="A38" s="29" t="s">
        <v>31</v>
      </c>
      <c r="B38" s="22">
        <v>133002.5</v>
      </c>
      <c r="C38" s="22">
        <v>74077.399999999994</v>
      </c>
      <c r="D38" s="30">
        <f t="shared" si="3"/>
        <v>55.696246311159555</v>
      </c>
    </row>
    <row r="39" spans="1:4" ht="19.5" customHeight="1">
      <c r="A39" s="38" t="s">
        <v>23</v>
      </c>
      <c r="B39" s="57">
        <v>8767.7000000000007</v>
      </c>
      <c r="C39" s="57">
        <v>7612.4</v>
      </c>
      <c r="D39" s="39">
        <f t="shared" si="3"/>
        <v>86.823226159654183</v>
      </c>
    </row>
    <row r="40" spans="1:4" ht="18.75">
      <c r="A40" s="40" t="s">
        <v>15</v>
      </c>
      <c r="B40" s="64">
        <f>B39-B41</f>
        <v>8767.7000000000007</v>
      </c>
      <c r="C40" s="64">
        <f>C39-C41</f>
        <v>7612.4</v>
      </c>
      <c r="D40" s="41">
        <f t="shared" si="3"/>
        <v>86.823226159654183</v>
      </c>
    </row>
    <row r="41" spans="1:4" ht="21.75" customHeight="1">
      <c r="A41" s="29" t="s">
        <v>31</v>
      </c>
      <c r="B41" s="64">
        <v>0</v>
      </c>
      <c r="C41" s="64">
        <v>0</v>
      </c>
      <c r="D41" s="41"/>
    </row>
    <row r="42" spans="1:4" ht="0.75" customHeight="1">
      <c r="A42" s="42" t="s">
        <v>12</v>
      </c>
      <c r="B42" s="66"/>
      <c r="C42" s="66"/>
      <c r="D42" s="43" t="e">
        <f t="shared" si="3"/>
        <v>#DIV/0!</v>
      </c>
    </row>
    <row r="43" spans="1:4" ht="20.25" customHeight="1">
      <c r="A43" s="44" t="s">
        <v>16</v>
      </c>
      <c r="B43" s="58">
        <v>2037268.2</v>
      </c>
      <c r="C43" s="58">
        <v>1730426.4</v>
      </c>
      <c r="D43" s="45">
        <f t="shared" ref="D43:D52" si="4">C43/B43*100</f>
        <v>84.938566262409637</v>
      </c>
    </row>
    <row r="44" spans="1:4" ht="18.75">
      <c r="A44" s="29" t="s">
        <v>15</v>
      </c>
      <c r="B44" s="22">
        <f>B43-B45</f>
        <v>80561</v>
      </c>
      <c r="C44" s="22">
        <f>C43-C45</f>
        <v>72003.699999999953</v>
      </c>
      <c r="D44" s="30">
        <f t="shared" si="4"/>
        <v>89.377862737552846</v>
      </c>
    </row>
    <row r="45" spans="1:4" ht="18.75">
      <c r="A45" s="29" t="s">
        <v>31</v>
      </c>
      <c r="B45" s="22">
        <v>1956707.2</v>
      </c>
      <c r="C45" s="22">
        <v>1658422.7</v>
      </c>
      <c r="D45" s="30">
        <f t="shared" si="4"/>
        <v>84.755792793116925</v>
      </c>
    </row>
    <row r="46" spans="1:4" ht="18.75" customHeight="1">
      <c r="A46" s="35" t="s">
        <v>24</v>
      </c>
      <c r="B46" s="56">
        <v>164409.29999999999</v>
      </c>
      <c r="C46" s="56">
        <v>154644.4</v>
      </c>
      <c r="D46" s="26">
        <f t="shared" si="4"/>
        <v>94.060615792415632</v>
      </c>
    </row>
    <row r="47" spans="1:4" ht="33.75" hidden="1" customHeight="1">
      <c r="A47" s="36" t="s">
        <v>25</v>
      </c>
      <c r="B47" s="67"/>
      <c r="C47" s="22"/>
      <c r="D47" s="26" t="e">
        <f t="shared" si="4"/>
        <v>#DIV/0!</v>
      </c>
    </row>
    <row r="48" spans="1:4" ht="0.75" hidden="1" customHeight="1">
      <c r="A48" s="36" t="s">
        <v>26</v>
      </c>
      <c r="B48" s="22"/>
      <c r="C48" s="22"/>
      <c r="D48" s="26" t="e">
        <f t="shared" si="4"/>
        <v>#DIV/0!</v>
      </c>
    </row>
    <row r="49" spans="1:4" ht="21.75" customHeight="1">
      <c r="A49" s="29" t="s">
        <v>15</v>
      </c>
      <c r="B49" s="22">
        <f>B46-B50</f>
        <v>161803.59999999998</v>
      </c>
      <c r="C49" s="22">
        <f>C46-C50</f>
        <v>152450.29999999999</v>
      </c>
      <c r="D49" s="30">
        <f t="shared" si="4"/>
        <v>94.219349878494668</v>
      </c>
    </row>
    <row r="50" spans="1:4" ht="20.25" customHeight="1">
      <c r="A50" s="29" t="s">
        <v>31</v>
      </c>
      <c r="B50" s="22">
        <v>2605.6999999999998</v>
      </c>
      <c r="C50" s="22">
        <v>2194.1</v>
      </c>
      <c r="D50" s="30">
        <f t="shared" si="4"/>
        <v>84.203860766780522</v>
      </c>
    </row>
    <row r="51" spans="1:4" s="12" customFormat="1" ht="18.75">
      <c r="A51" s="35" t="s">
        <v>27</v>
      </c>
      <c r="B51" s="56">
        <v>1304.2</v>
      </c>
      <c r="C51" s="56">
        <v>1059.8</v>
      </c>
      <c r="D51" s="26">
        <f t="shared" si="4"/>
        <v>81.2605428615243</v>
      </c>
    </row>
    <row r="52" spans="1:4" ht="40.5" customHeight="1">
      <c r="A52" s="28" t="s">
        <v>28</v>
      </c>
      <c r="B52" s="56">
        <v>177823.5</v>
      </c>
      <c r="C52" s="56">
        <v>163257.5</v>
      </c>
      <c r="D52" s="26">
        <f t="shared" si="4"/>
        <v>91.808731691818011</v>
      </c>
    </row>
    <row r="53" spans="1:4" ht="23.25" customHeight="1">
      <c r="A53" s="46" t="s">
        <v>17</v>
      </c>
      <c r="B53" s="25">
        <f>B17+B21+B22+B25+B28+B32+B33+B36+B39+B43+B46+B51+B52</f>
        <v>13328317</v>
      </c>
      <c r="C53" s="25">
        <f>C17+C21+C22+C25+C28+C32+C33+C36+C39+C43+C46+C51+C52</f>
        <v>10762387.900000002</v>
      </c>
      <c r="D53" s="25">
        <f>C53/B53*100</f>
        <v>80.748288774944371</v>
      </c>
    </row>
    <row r="54" spans="1:4" ht="11.25" customHeight="1">
      <c r="A54" s="47"/>
      <c r="B54" s="56"/>
      <c r="C54" s="56"/>
      <c r="D54" s="26"/>
    </row>
    <row r="55" spans="1:4" ht="18" customHeight="1">
      <c r="A55" s="16" t="s">
        <v>18</v>
      </c>
      <c r="B55" s="61">
        <v>-17281.099999999999</v>
      </c>
      <c r="C55" s="61">
        <f>C13-C53</f>
        <v>-80196.300000002608</v>
      </c>
      <c r="D55" s="27"/>
    </row>
    <row r="56" spans="1:4" ht="8.25" customHeight="1">
      <c r="A56" s="47"/>
      <c r="B56" s="56"/>
      <c r="C56" s="56"/>
      <c r="D56" s="26"/>
    </row>
    <row r="57" spans="1:4" ht="21.75" customHeight="1">
      <c r="A57" s="16" t="s">
        <v>19</v>
      </c>
      <c r="B57" s="25">
        <f>B58+B61+B68+B66</f>
        <v>17281.099999999999</v>
      </c>
      <c r="C57" s="25">
        <f>C58+C61+C68+C66</f>
        <v>80196.299999999988</v>
      </c>
      <c r="D57" s="27"/>
    </row>
    <row r="58" spans="1:4" ht="21" customHeight="1">
      <c r="A58" s="48" t="s">
        <v>34</v>
      </c>
      <c r="B58" s="22">
        <f>B59-B60</f>
        <v>0</v>
      </c>
      <c r="C58" s="22">
        <f>C59-C60</f>
        <v>0</v>
      </c>
      <c r="D58" s="19"/>
    </row>
    <row r="59" spans="1:4" ht="18.75">
      <c r="A59" s="49" t="s">
        <v>35</v>
      </c>
      <c r="B59" s="62">
        <v>79318.899999999994</v>
      </c>
      <c r="C59" s="62">
        <v>79318.899999999994</v>
      </c>
      <c r="D59" s="19"/>
    </row>
    <row r="60" spans="1:4" ht="21.75" customHeight="1">
      <c r="A60" s="49" t="s">
        <v>36</v>
      </c>
      <c r="B60" s="62">
        <v>79318.899999999994</v>
      </c>
      <c r="C60" s="62">
        <v>79318.899999999994</v>
      </c>
      <c r="D60" s="19"/>
    </row>
    <row r="61" spans="1:4" ht="18.75">
      <c r="A61" s="48" t="s">
        <v>37</v>
      </c>
      <c r="B61" s="22">
        <f>B64-B65</f>
        <v>0</v>
      </c>
      <c r="C61" s="22">
        <f>C64-C65</f>
        <v>0</v>
      </c>
      <c r="D61" s="19"/>
    </row>
    <row r="62" spans="1:4" ht="24.75" hidden="1" customHeight="1">
      <c r="A62" s="48" t="s">
        <v>30</v>
      </c>
      <c r="B62" s="22">
        <v>0</v>
      </c>
      <c r="C62" s="22">
        <v>0</v>
      </c>
      <c r="D62" s="19"/>
    </row>
    <row r="63" spans="1:4" ht="36.75" hidden="1" customHeight="1">
      <c r="A63" s="48" t="s">
        <v>29</v>
      </c>
      <c r="B63" s="22">
        <v>1709</v>
      </c>
      <c r="C63" s="22">
        <v>1709</v>
      </c>
      <c r="D63" s="19"/>
    </row>
    <row r="64" spans="1:4" ht="18.75">
      <c r="A64" s="49" t="s">
        <v>38</v>
      </c>
      <c r="B64" s="62">
        <v>0</v>
      </c>
      <c r="C64" s="62">
        <v>0</v>
      </c>
      <c r="D64" s="19"/>
    </row>
    <row r="65" spans="1:4" ht="18" customHeight="1">
      <c r="A65" s="49" t="s">
        <v>39</v>
      </c>
      <c r="B65" s="62">
        <v>0</v>
      </c>
      <c r="C65" s="62">
        <v>0</v>
      </c>
      <c r="D65" s="19"/>
    </row>
    <row r="66" spans="1:4" ht="43.5" customHeight="1">
      <c r="A66" s="48" t="s">
        <v>47</v>
      </c>
      <c r="B66" s="62">
        <f>SUM(B67:B67)</f>
        <v>0</v>
      </c>
      <c r="C66" s="62">
        <f>SUM(C67)</f>
        <v>174381.9</v>
      </c>
      <c r="D66" s="19"/>
    </row>
    <row r="67" spans="1:4" ht="69.75" customHeight="1">
      <c r="A67" s="50" t="s">
        <v>42</v>
      </c>
      <c r="B67" s="62">
        <v>0</v>
      </c>
      <c r="C67" s="62">
        <v>174381.9</v>
      </c>
      <c r="D67" s="19"/>
    </row>
    <row r="68" spans="1:4" ht="20.25" customHeight="1">
      <c r="A68" s="48" t="s">
        <v>44</v>
      </c>
      <c r="B68" s="22">
        <v>17281.099999999999</v>
      </c>
      <c r="C68" s="22">
        <v>-94185.600000000006</v>
      </c>
      <c r="D68" s="51"/>
    </row>
    <row r="69" spans="1:4" ht="20.25" customHeight="1">
      <c r="A69" s="52"/>
      <c r="B69" s="53"/>
      <c r="C69" s="53"/>
      <c r="D69" s="54"/>
    </row>
    <row r="70" spans="1:4" ht="20.25" customHeight="1">
      <c r="A70" s="52"/>
      <c r="B70" s="53"/>
      <c r="C70" s="53"/>
      <c r="D70" s="54"/>
    </row>
    <row r="71" spans="1:4" s="6" customFormat="1" ht="46.5" customHeight="1">
      <c r="A71" s="69" t="s">
        <v>51</v>
      </c>
      <c r="B71" s="69"/>
      <c r="C71" s="59"/>
      <c r="D71" s="60" t="s">
        <v>50</v>
      </c>
    </row>
    <row r="72" spans="1:4" ht="14.25">
      <c r="A72" s="2"/>
      <c r="B72" s="3"/>
      <c r="C72" s="4"/>
      <c r="D72" s="4"/>
    </row>
    <row r="73" spans="1:4" ht="14.25">
      <c r="A73" s="2"/>
      <c r="B73" s="11"/>
      <c r="C73" s="11"/>
      <c r="D73" s="4"/>
    </row>
    <row r="74" spans="1:4" ht="14.25">
      <c r="A74" s="2"/>
      <c r="B74" s="11"/>
      <c r="C74" s="11"/>
      <c r="D74" s="4"/>
    </row>
    <row r="75" spans="1:4" ht="14.25">
      <c r="A75" s="2"/>
      <c r="B75" s="11"/>
      <c r="C75" s="13"/>
      <c r="D75" s="4"/>
    </row>
    <row r="76" spans="1:4" ht="14.25">
      <c r="A76" s="2"/>
      <c r="B76" s="3"/>
      <c r="C76" s="4"/>
      <c r="D76" s="4"/>
    </row>
    <row r="77" spans="1:4" ht="14.25">
      <c r="A77" s="2"/>
      <c r="B77" s="3"/>
      <c r="C77" s="4"/>
      <c r="D77" s="4"/>
    </row>
    <row r="78" spans="1:4" ht="14.25">
      <c r="A78" s="2"/>
      <c r="B78" s="3"/>
      <c r="C78" s="4"/>
      <c r="D78" s="4"/>
    </row>
    <row r="79" spans="1:4" ht="14.25">
      <c r="A79" s="2"/>
      <c r="B79" s="3"/>
      <c r="C79" s="4"/>
      <c r="D79" s="4"/>
    </row>
    <row r="80" spans="1:4" ht="14.25">
      <c r="A80" s="2"/>
      <c r="B80" s="3"/>
      <c r="C80" s="4"/>
      <c r="D80" s="4"/>
    </row>
    <row r="81" spans="1:4" ht="14.25">
      <c r="A81" s="2"/>
      <c r="B81" s="3"/>
      <c r="C81" s="4"/>
      <c r="D81" s="4"/>
    </row>
    <row r="82" spans="1:4" ht="14.25">
      <c r="A82" s="2"/>
      <c r="B82" s="3"/>
      <c r="C82" s="4"/>
      <c r="D82" s="4"/>
    </row>
    <row r="83" spans="1:4" ht="14.25">
      <c r="A83" s="2"/>
      <c r="B83" s="3"/>
      <c r="C83" s="4"/>
      <c r="D83" s="4"/>
    </row>
    <row r="84" spans="1:4" ht="14.25">
      <c r="A84" s="2"/>
      <c r="B84" s="3"/>
      <c r="C84" s="4"/>
      <c r="D84" s="4"/>
    </row>
    <row r="85" spans="1:4" ht="14.25">
      <c r="A85" s="2"/>
      <c r="B85" s="3"/>
      <c r="C85" s="4"/>
      <c r="D85" s="4"/>
    </row>
    <row r="86" spans="1:4" ht="14.25">
      <c r="A86" s="2"/>
      <c r="B86" s="3"/>
      <c r="C86" s="4"/>
      <c r="D86" s="4"/>
    </row>
    <row r="87" spans="1:4" ht="14.25">
      <c r="A87" s="2"/>
      <c r="B87" s="3"/>
      <c r="C87" s="4"/>
      <c r="D87" s="4"/>
    </row>
    <row r="88" spans="1:4" ht="14.25">
      <c r="A88" s="2"/>
      <c r="B88" s="3"/>
      <c r="C88" s="4"/>
      <c r="D88" s="4"/>
    </row>
    <row r="89" spans="1:4" ht="14.25">
      <c r="A89" s="2"/>
      <c r="B89" s="3"/>
      <c r="C89" s="4"/>
      <c r="D89" s="4"/>
    </row>
    <row r="90" spans="1:4" ht="14.25">
      <c r="A90" s="2"/>
      <c r="B90" s="3"/>
      <c r="C90" s="4"/>
      <c r="D90" s="4"/>
    </row>
    <row r="91" spans="1:4" ht="14.25">
      <c r="A91" s="2"/>
      <c r="B91" s="3"/>
      <c r="C91" s="4"/>
      <c r="D91" s="4"/>
    </row>
    <row r="92" spans="1:4" ht="14.25">
      <c r="A92" s="2"/>
      <c r="B92" s="3"/>
      <c r="C92" s="4"/>
      <c r="D92" s="4"/>
    </row>
    <row r="93" spans="1:4" ht="14.25">
      <c r="A93" s="2"/>
      <c r="B93" s="3"/>
      <c r="C93" s="4"/>
      <c r="D93" s="4"/>
    </row>
    <row r="94" spans="1:4" ht="14.25">
      <c r="A94" s="2"/>
      <c r="B94" s="3"/>
      <c r="C94" s="4"/>
      <c r="D94" s="4"/>
    </row>
    <row r="95" spans="1:4" ht="14.25">
      <c r="A95" s="2"/>
      <c r="B95" s="3"/>
      <c r="C95" s="4"/>
      <c r="D95" s="4"/>
    </row>
    <row r="96" spans="1:4" ht="14.25">
      <c r="A96" s="2"/>
      <c r="B96" s="3"/>
      <c r="C96" s="4"/>
      <c r="D96" s="4"/>
    </row>
    <row r="97" spans="1:4" ht="14.25">
      <c r="A97" s="2"/>
      <c r="B97" s="3"/>
      <c r="C97" s="4"/>
      <c r="D97" s="4"/>
    </row>
    <row r="98" spans="1:4" ht="14.25">
      <c r="A98" s="2"/>
      <c r="B98" s="3"/>
      <c r="C98" s="4"/>
      <c r="D98" s="4"/>
    </row>
    <row r="99" spans="1:4" ht="14.25">
      <c r="A99" s="2"/>
      <c r="B99" s="3"/>
      <c r="C99" s="4"/>
      <c r="D99" s="4"/>
    </row>
    <row r="100" spans="1:4" ht="14.25">
      <c r="A100" s="2"/>
      <c r="B100" s="3"/>
      <c r="C100" s="4"/>
      <c r="D100" s="4"/>
    </row>
    <row r="101" spans="1:4" ht="14.25">
      <c r="A101" s="2"/>
      <c r="B101" s="3"/>
      <c r="C101" s="4"/>
      <c r="D101" s="4"/>
    </row>
    <row r="102" spans="1:4" ht="14.25">
      <c r="A102" s="2"/>
      <c r="B102" s="3"/>
      <c r="C102" s="4"/>
      <c r="D102" s="4"/>
    </row>
    <row r="103" spans="1:4" ht="14.25">
      <c r="A103" s="2"/>
      <c r="B103" s="3"/>
      <c r="C103" s="4"/>
      <c r="D103" s="4"/>
    </row>
    <row r="104" spans="1:4" ht="14.25">
      <c r="A104" s="2"/>
      <c r="B104" s="3"/>
      <c r="C104" s="4"/>
      <c r="D104" s="4"/>
    </row>
    <row r="105" spans="1:4" ht="14.25">
      <c r="A105" s="2"/>
      <c r="B105" s="3"/>
      <c r="C105" s="4"/>
      <c r="D105" s="4"/>
    </row>
    <row r="106" spans="1:4" ht="14.25">
      <c r="A106" s="2"/>
      <c r="B106" s="3"/>
      <c r="C106" s="4"/>
      <c r="D106" s="4"/>
    </row>
    <row r="107" spans="1:4" ht="14.25">
      <c r="A107" s="2"/>
      <c r="B107" s="3"/>
      <c r="C107" s="4"/>
      <c r="D107" s="4"/>
    </row>
    <row r="108" spans="1:4" ht="14.25">
      <c r="A108" s="2"/>
      <c r="B108" s="3"/>
      <c r="C108" s="4"/>
      <c r="D108" s="4"/>
    </row>
    <row r="109" spans="1:4" ht="14.25">
      <c r="A109" s="2"/>
      <c r="B109" s="3"/>
      <c r="C109" s="4"/>
      <c r="D109" s="4"/>
    </row>
    <row r="110" spans="1:4" ht="14.25">
      <c r="A110" s="2"/>
      <c r="B110" s="3"/>
      <c r="C110" s="4"/>
      <c r="D110" s="4"/>
    </row>
    <row r="111" spans="1:4" ht="14.25">
      <c r="A111" s="2"/>
      <c r="B111" s="3"/>
      <c r="C111" s="4"/>
      <c r="D111" s="4"/>
    </row>
    <row r="112" spans="1:4" ht="14.25">
      <c r="A112" s="2"/>
      <c r="B112" s="3"/>
      <c r="C112" s="4"/>
      <c r="D112" s="4"/>
    </row>
    <row r="113" spans="1:4" ht="14.25">
      <c r="A113" s="2"/>
      <c r="B113" s="3"/>
      <c r="C113" s="4"/>
      <c r="D113" s="4"/>
    </row>
    <row r="114" spans="1:4" ht="14.25">
      <c r="A114" s="2"/>
      <c r="B114" s="3"/>
      <c r="C114" s="4"/>
      <c r="D114" s="4"/>
    </row>
    <row r="115" spans="1:4" ht="14.25">
      <c r="A115" s="2"/>
      <c r="B115" s="3"/>
      <c r="C115" s="4"/>
      <c r="D115" s="4"/>
    </row>
    <row r="116" spans="1:4" ht="14.25">
      <c r="A116" s="2"/>
      <c r="B116" s="3"/>
      <c r="C116" s="4"/>
      <c r="D116" s="4"/>
    </row>
    <row r="117" spans="1:4" ht="14.25">
      <c r="A117" s="2"/>
      <c r="B117" s="3"/>
      <c r="C117" s="4"/>
      <c r="D117" s="4"/>
    </row>
    <row r="118" spans="1:4" ht="14.25">
      <c r="A118" s="2"/>
      <c r="B118" s="3"/>
      <c r="C118" s="4"/>
      <c r="D118" s="4"/>
    </row>
    <row r="119" spans="1:4" ht="14.25">
      <c r="A119" s="2"/>
      <c r="B119" s="3"/>
      <c r="C119" s="4"/>
      <c r="D119" s="4"/>
    </row>
    <row r="120" spans="1:4" ht="14.25">
      <c r="A120" s="2"/>
      <c r="B120" s="3"/>
      <c r="C120" s="4"/>
      <c r="D120" s="4"/>
    </row>
    <row r="121" spans="1:4" ht="14.25">
      <c r="A121" s="2"/>
      <c r="B121" s="3"/>
      <c r="C121" s="4"/>
      <c r="D121" s="4"/>
    </row>
    <row r="122" spans="1:4" ht="14.25">
      <c r="A122" s="2"/>
      <c r="B122" s="3"/>
      <c r="C122" s="4"/>
      <c r="D122" s="4"/>
    </row>
    <row r="123" spans="1:4" ht="14.25">
      <c r="A123" s="2"/>
      <c r="B123" s="3"/>
      <c r="C123" s="4"/>
      <c r="D123" s="4"/>
    </row>
    <row r="124" spans="1:4" ht="14.25">
      <c r="A124" s="2"/>
      <c r="B124" s="3"/>
      <c r="C124" s="4"/>
      <c r="D124" s="4"/>
    </row>
    <row r="125" spans="1:4" ht="14.25">
      <c r="A125" s="2"/>
      <c r="B125" s="3"/>
      <c r="C125" s="4"/>
      <c r="D125" s="4"/>
    </row>
    <row r="126" spans="1:4" ht="14.25">
      <c r="A126" s="2"/>
      <c r="B126" s="3"/>
      <c r="C126" s="4"/>
      <c r="D126" s="4"/>
    </row>
    <row r="127" spans="1:4" ht="14.25">
      <c r="A127" s="2"/>
      <c r="B127" s="3"/>
      <c r="C127" s="4"/>
      <c r="D127" s="4"/>
    </row>
    <row r="128" spans="1:4" ht="14.25">
      <c r="A128" s="2"/>
      <c r="B128" s="3"/>
      <c r="C128" s="4"/>
      <c r="D128" s="4"/>
    </row>
    <row r="129" spans="1:4" ht="14.25">
      <c r="A129" s="2"/>
      <c r="B129" s="3"/>
      <c r="C129" s="4"/>
      <c r="D129" s="4"/>
    </row>
    <row r="130" spans="1:4" ht="14.25">
      <c r="A130" s="2"/>
      <c r="B130" s="3"/>
      <c r="C130" s="4"/>
      <c r="D130" s="4"/>
    </row>
    <row r="131" spans="1:4" ht="14.25">
      <c r="A131" s="2"/>
      <c r="B131" s="3"/>
      <c r="C131" s="4"/>
      <c r="D131" s="4"/>
    </row>
    <row r="132" spans="1:4" ht="14.25">
      <c r="A132" s="2"/>
      <c r="B132" s="3"/>
      <c r="C132" s="4"/>
      <c r="D132" s="4"/>
    </row>
    <row r="133" spans="1:4" ht="14.25">
      <c r="A133" s="2"/>
      <c r="B133" s="3"/>
      <c r="C133" s="4"/>
      <c r="D133" s="4"/>
    </row>
    <row r="134" spans="1:4" ht="14.25">
      <c r="A134" s="2"/>
      <c r="B134" s="3"/>
      <c r="C134" s="4"/>
      <c r="D134" s="4"/>
    </row>
    <row r="135" spans="1:4" ht="14.25">
      <c r="A135" s="2"/>
      <c r="B135" s="3"/>
      <c r="C135" s="4"/>
      <c r="D135" s="4"/>
    </row>
    <row r="136" spans="1:4" ht="14.25">
      <c r="A136" s="2"/>
      <c r="B136" s="3"/>
      <c r="C136" s="4"/>
      <c r="D136" s="4"/>
    </row>
    <row r="137" spans="1:4" ht="14.25">
      <c r="A137" s="2"/>
      <c r="B137" s="3"/>
      <c r="C137" s="4"/>
      <c r="D137" s="4"/>
    </row>
    <row r="138" spans="1:4" ht="14.25">
      <c r="A138" s="2"/>
      <c r="B138" s="3"/>
      <c r="C138" s="4"/>
      <c r="D138" s="4"/>
    </row>
    <row r="139" spans="1:4" ht="14.25">
      <c r="A139" s="2"/>
      <c r="B139" s="3"/>
      <c r="C139" s="4"/>
      <c r="D139" s="4"/>
    </row>
    <row r="140" spans="1:4" ht="14.25">
      <c r="A140" s="2"/>
      <c r="B140" s="3"/>
      <c r="C140" s="4"/>
      <c r="D140" s="4"/>
    </row>
    <row r="141" spans="1:4" ht="14.25">
      <c r="A141" s="2"/>
      <c r="B141" s="3"/>
      <c r="C141" s="4"/>
      <c r="D141" s="4"/>
    </row>
    <row r="142" spans="1:4" ht="14.25">
      <c r="A142" s="2"/>
      <c r="B142" s="3"/>
      <c r="C142" s="4"/>
      <c r="D142" s="4"/>
    </row>
    <row r="143" spans="1:4" ht="14.25">
      <c r="A143" s="2"/>
      <c r="B143" s="3"/>
      <c r="C143" s="4"/>
      <c r="D143" s="4"/>
    </row>
    <row r="144" spans="1:4" ht="14.25">
      <c r="A144" s="2"/>
      <c r="B144" s="3"/>
      <c r="C144" s="4"/>
      <c r="D144" s="4"/>
    </row>
    <row r="145" spans="1:4" ht="14.25">
      <c r="A145" s="2"/>
      <c r="B145" s="3"/>
      <c r="C145" s="4"/>
      <c r="D145" s="4"/>
    </row>
    <row r="146" spans="1:4" ht="14.25">
      <c r="A146" s="2"/>
      <c r="B146" s="3"/>
      <c r="C146" s="4"/>
      <c r="D146" s="4"/>
    </row>
    <row r="147" spans="1:4" ht="14.25">
      <c r="A147" s="2"/>
      <c r="B147" s="3"/>
      <c r="C147" s="4"/>
      <c r="D147" s="4"/>
    </row>
    <row r="148" spans="1:4" ht="14.25">
      <c r="A148" s="2"/>
      <c r="B148" s="3"/>
      <c r="C148" s="4"/>
      <c r="D148" s="4"/>
    </row>
    <row r="149" spans="1:4" ht="14.25">
      <c r="A149" s="2"/>
      <c r="B149" s="3"/>
      <c r="C149" s="4"/>
      <c r="D149" s="4"/>
    </row>
    <row r="150" spans="1:4" ht="14.25">
      <c r="A150" s="2"/>
      <c r="B150" s="3"/>
      <c r="C150" s="4"/>
      <c r="D150" s="4"/>
    </row>
    <row r="151" spans="1:4" ht="14.25">
      <c r="A151" s="2"/>
      <c r="B151" s="3"/>
      <c r="C151" s="4"/>
      <c r="D151" s="4"/>
    </row>
    <row r="152" spans="1:4" ht="14.25">
      <c r="A152" s="2"/>
      <c r="B152" s="3"/>
      <c r="C152" s="4"/>
      <c r="D152" s="4"/>
    </row>
    <row r="153" spans="1:4" ht="14.25">
      <c r="A153" s="2"/>
      <c r="B153" s="3"/>
      <c r="C153" s="4"/>
      <c r="D153" s="4"/>
    </row>
    <row r="154" spans="1:4" ht="14.25">
      <c r="A154" s="2"/>
      <c r="B154" s="3"/>
      <c r="C154" s="4"/>
      <c r="D154" s="4"/>
    </row>
    <row r="155" spans="1:4" ht="14.25">
      <c r="A155" s="2"/>
      <c r="B155" s="3"/>
      <c r="C155" s="4"/>
      <c r="D155" s="4"/>
    </row>
    <row r="156" spans="1:4" ht="14.25">
      <c r="A156" s="2"/>
      <c r="B156" s="3"/>
      <c r="C156" s="4"/>
      <c r="D156" s="4"/>
    </row>
    <row r="157" spans="1:4" ht="14.25">
      <c r="A157" s="2"/>
      <c r="B157" s="3"/>
      <c r="C157" s="4"/>
      <c r="D157" s="4"/>
    </row>
    <row r="158" spans="1:4" ht="14.25">
      <c r="A158" s="2"/>
      <c r="B158" s="3"/>
      <c r="C158" s="4"/>
      <c r="D158" s="4"/>
    </row>
    <row r="159" spans="1:4" ht="14.25">
      <c r="A159" s="2"/>
      <c r="B159" s="3"/>
      <c r="C159" s="4"/>
      <c r="D159" s="4"/>
    </row>
    <row r="160" spans="1:4" ht="14.25">
      <c r="A160" s="2"/>
      <c r="B160" s="3"/>
      <c r="C160" s="4"/>
      <c r="D160" s="4"/>
    </row>
    <row r="161" spans="1:4" ht="14.25">
      <c r="A161" s="2"/>
      <c r="B161" s="3"/>
      <c r="C161" s="4"/>
      <c r="D161" s="4"/>
    </row>
    <row r="162" spans="1:4" ht="14.25">
      <c r="A162" s="2"/>
      <c r="B162" s="3"/>
      <c r="C162" s="4"/>
      <c r="D162" s="4"/>
    </row>
    <row r="163" spans="1:4" ht="14.25">
      <c r="A163" s="2"/>
      <c r="B163" s="3"/>
      <c r="C163" s="4"/>
      <c r="D163" s="4"/>
    </row>
    <row r="164" spans="1:4" ht="14.25">
      <c r="A164" s="2"/>
      <c r="B164" s="3"/>
      <c r="C164" s="4"/>
      <c r="D164" s="4"/>
    </row>
    <row r="165" spans="1:4" ht="14.25">
      <c r="A165" s="2"/>
      <c r="B165" s="3"/>
      <c r="C165" s="4"/>
      <c r="D165" s="4"/>
    </row>
    <row r="166" spans="1:4" ht="14.25">
      <c r="A166" s="2"/>
      <c r="B166" s="3"/>
      <c r="C166" s="4"/>
      <c r="D166" s="4"/>
    </row>
  </sheetData>
  <mergeCells count="2">
    <mergeCell ref="A1:D1"/>
    <mergeCell ref="A71:B71"/>
  </mergeCells>
  <printOptions horizontalCentered="1"/>
  <pageMargins left="0.43307086614173229" right="0.39370078740157483" top="0.35" bottom="0.31496062992125984" header="0.33" footer="0.23622047244094491"/>
  <pageSetup paperSize="9" scale="60" firstPageNumber="0" orientation="portrait" horizontalDpi="300" verticalDpi="300" r:id="rId1"/>
  <headerFooter alignWithMargins="0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</vt:lpstr>
      <vt:lpstr>исполнение</vt:lpstr>
      <vt:lpstr>исполнение!Заголовки_для_печати</vt:lpstr>
      <vt:lpstr>доходы!Область_печати</vt:lpstr>
      <vt:lpstr>исполнение!Область_печати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Бурда Ирина Георгиевна</dc:creator>
  <cp:lastModifiedBy>Высочкина</cp:lastModifiedBy>
  <cp:lastPrinted>2024-12-17T08:31:03Z</cp:lastPrinted>
  <dcterms:created xsi:type="dcterms:W3CDTF">2009-06-17T07:34:38Z</dcterms:created>
  <dcterms:modified xsi:type="dcterms:W3CDTF">2024-12-18T08:42:11Z</dcterms:modified>
</cp:coreProperties>
</file>